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Т-подкл'!$116:$117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Т-подкл'!$118:$119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Т-подкл'!$T$115</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Т-подкл'!$48:$112</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Т-подкл'!$46:$114</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Т-подкл'!$47:$113</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<sst xmlns="http://schemas.openxmlformats.org/spreadsheetml/2006/main" count="12637" uniqueCount="3276">
  <si>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</si>
  <si>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</si>
  <si>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</si>
  <si>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</si>
  <si>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</si>
  <si>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</si>
  <si>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</si>
  <si>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</si>
  <si>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</si>
  <si>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</si>
  <si>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</si>
  <si>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</si>
  <si>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</si>
  <si>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</si>
  <si>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Марий Эл</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</si>
  <si>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</si>
  <si>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</si>
  <si>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</si>
  <si>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</si>
  <si>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</si>
  <si>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</si>
  <si>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</si>
  <si>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</si>
  <si>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</si>
  <si>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</si>
  <si>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</si>
  <si>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</si>
  <si>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</si>
  <si>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</si>
  <si>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</si>
  <si>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</si>
  <si>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</si>
  <si>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</si>
  <si>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</si>
  <si>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</si>
  <si>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</si>
  <si>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</si>
  <si>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52т, 102т</t>
  </si>
  <si>
    <t>Наименование органа регулирования, принявшего решение об утверждении тарифов</t>
  </si>
  <si>
    <t>Министерство промышленности, экономического развития и торговли Республики Марий Эл</t>
  </si>
  <si>
    <t>Источник официального опубликования решения</t>
  </si>
  <si>
    <t>https://mari-el.gov.ru/ministries/mecon/tarif/pages/resheniya-ob-ustanovlenii-tarifov-vodosnabzhenie-vodootvedenie-utilizatsiya-tbo/#close</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</si>
  <si>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</si>
  <si>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</si>
  <si>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</si>
  <si>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</si>
  <si>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</si>
  <si>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</si>
  <si>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1215020390</t>
  </si>
  <si>
    <t>КПП</t>
  </si>
  <si>
    <t>121501001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</si>
  <si>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</si>
  <si>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</si>
  <si>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</si>
  <si>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</si>
  <si>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</si>
  <si>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</si>
  <si>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</si>
  <si>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</si>
  <si>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</si>
  <si>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</si>
  <si>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</si>
  <si>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</si>
  <si>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</si>
  <si>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</si>
  <si>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</si>
  <si>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</si>
  <si>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</si>
  <si>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</si>
  <si>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424039, Республика Марий Эл, г. Йошкар-Ола, ул. Дружбы, д. 2</t>
  </si>
  <si>
    <t>Фамилия, имя, отчество руководителя</t>
  </si>
  <si>
    <t>Ерещкин Андрей Владимирович</t>
  </si>
  <si>
    <t>Ответственный за заполнение формы</t>
  </si>
  <si>
    <t>Фамилия, имя, отчество</t>
  </si>
  <si>
    <t>Средина Е.С., Исаев В.В.</t>
  </si>
  <si>
    <t>Должность</t>
  </si>
  <si>
    <t>Начальник ПЭО, Начальник ПТО</t>
  </si>
  <si>
    <t>Контактный телефон</t>
  </si>
  <si>
    <t>(8362)41-79-01, (8362) 41-82-91</t>
  </si>
  <si>
    <t>E-mail</t>
  </si>
  <si>
    <t>peo@vod12.ru, pto12@inbox.ru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</si>
  <si>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</si>
  <si>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</si>
  <si>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</si>
  <si>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</si>
  <si>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</si>
  <si>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</si>
  <si>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</si>
  <si>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</si>
  <si>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</si>
  <si>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</si>
  <si>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</si>
  <si>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</si>
  <si>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</si>
  <si>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</si>
  <si>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</si>
  <si>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</si>
  <si>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</si>
  <si>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г. Йошкар-Ола</t>
  </si>
  <si>
    <t>88701000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</si>
  <si>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</si>
  <si>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</si>
  <si>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</si>
  <si>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</si>
  <si>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</si>
  <si>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</si>
  <si>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</si>
  <si>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</si>
  <si>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</si>
  <si>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</si>
  <si>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</si>
  <si>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</si>
  <si>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</si>
  <si>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</si>
  <si>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</si>
  <si>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</si>
  <si>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</si>
  <si>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</si>
  <si>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</si>
  <si>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</si>
  <si>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</si>
  <si>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</si>
  <si>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</si>
  <si>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</si>
  <si>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</si>
  <si>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</si>
  <si>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</si>
  <si>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</si>
  <si>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</si>
  <si>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</si>
  <si>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</si>
  <si>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</si>
  <si>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</si>
  <si>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</si>
  <si>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</si>
  <si>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</si>
  <si>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</si>
  <si>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</si>
  <si>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</si>
  <si>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</si>
  <si>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</si>
  <si>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</si>
  <si>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</si>
  <si>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</si>
  <si>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</si>
  <si>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</si>
  <si>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</si>
  <si>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</si>
  <si>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</si>
  <si>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</si>
  <si>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</si>
  <si>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</si>
  <si>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</si>
  <si>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</si>
  <si>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</si>
  <si>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</si>
  <si>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</si>
  <si>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</si>
  <si>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</si>
  <si>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</si>
  <si>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</si>
  <si>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</si>
  <si>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</si>
  <si>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</si>
  <si>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</si>
  <si>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</si>
  <si>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</si>
  <si>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</si>
  <si>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</si>
  <si>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</si>
  <si>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</si>
  <si>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</si>
  <si>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</si>
  <si>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</si>
  <si>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</si>
  <si>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</si>
  <si>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</si>
  <si>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</si>
  <si>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</si>
  <si>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</si>
  <si>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</si>
  <si>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</si>
  <si>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</si>
  <si>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</si>
  <si>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</si>
  <si>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</si>
  <si>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</si>
  <si>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</si>
  <si>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</si>
  <si>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</si>
  <si>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</si>
  <si>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</si>
  <si>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</si>
  <si>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</si>
  <si>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</si>
  <si>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</si>
  <si>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</si>
  <si>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</si>
  <si>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</si>
  <si>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</si>
  <si>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</si>
  <si>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</si>
  <si>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</si>
  <si>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</si>
  <si>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</si>
  <si>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</si>
  <si>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</si>
  <si>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</si>
  <si>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</si>
  <si>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</si>
  <si>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</si>
  <si>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</si>
  <si>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</si>
  <si>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</si>
  <si>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</si>
  <si>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</si>
  <si>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</si>
  <si>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</si>
  <si>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</si>
  <si>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</si>
  <si>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</si>
  <si>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</si>
  <si>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</si>
  <si>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</si>
  <si>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</si>
  <si>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</si>
  <si>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</si>
  <si>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</si>
  <si>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</si>
  <si>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</si>
  <si>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</si>
  <si>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</si>
  <si>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</si>
  <si>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</si>
  <si>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</si>
  <si>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</si>
  <si>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</si>
  <si>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</si>
  <si>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</si>
  <si>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</si>
  <si>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</si>
  <si>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</si>
  <si>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</si>
  <si>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</si>
  <si>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</si>
  <si>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</si>
  <si>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</si>
  <si>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</si>
  <si>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</si>
  <si>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</si>
  <si>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</si>
  <si>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</si>
  <si>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</si>
  <si>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</si>
  <si>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</si>
  <si>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</si>
  <si>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</si>
  <si>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</si>
  <si>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</si>
  <si>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</si>
  <si>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</si>
  <si>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</si>
  <si>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</si>
  <si>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Подключение (технологическое присоединение) к централизованной системе водоотведения</t>
  </si>
  <si>
    <t>4189712</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</si>
  <si>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</si>
  <si>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</si>
  <si>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</si>
  <si>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</si>
  <si>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</si>
  <si>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</si>
  <si>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</si>
  <si>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</si>
  <si>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</si>
  <si>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</si>
  <si>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</si>
  <si>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</si>
  <si>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</si>
  <si>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</si>
  <si>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</si>
  <si>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</si>
  <si>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</si>
  <si>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</si>
  <si>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</si>
  <si>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</si>
  <si>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</si>
  <si>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</si>
  <si>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</si>
  <si>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</si>
  <si>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</si>
  <si>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</si>
  <si>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</si>
  <si>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</si>
  <si>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</si>
  <si>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</si>
  <si>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</si>
  <si>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</si>
  <si>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</si>
  <si>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</si>
  <si>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</si>
  <si>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</si>
  <si>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</si>
  <si>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</si>
  <si>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</si>
  <si>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</si>
  <si>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</si>
  <si>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</si>
  <si>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</si>
  <si>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</si>
  <si>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</si>
  <si>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</si>
  <si>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</si>
  <si>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</si>
  <si>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</si>
  <si>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</si>
  <si>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</si>
  <si>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</si>
  <si>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</si>
  <si>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</si>
  <si>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</si>
  <si>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</si>
  <si>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</si>
  <si>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</si>
  <si>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</si>
  <si>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</si>
  <si>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</si>
  <si>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</si>
  <si>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</si>
  <si>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</si>
  <si>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</si>
  <si>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</si>
  <si>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</si>
  <si>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</si>
  <si>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</si>
  <si>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</si>
  <si>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</si>
  <si>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</si>
  <si>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</si>
  <si>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</si>
  <si>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</si>
  <si>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</si>
  <si>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</si>
  <si>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</si>
  <si>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</si>
  <si>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</si>
  <si>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</si>
  <si>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</si>
  <si>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</si>
  <si>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</si>
  <si>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</si>
  <si>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</si>
  <si>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</si>
  <si>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</si>
  <si>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</si>
  <si>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</si>
  <si>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</si>
  <si>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</si>
  <si>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</si>
  <si>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</si>
  <si>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</si>
  <si>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</si>
  <si>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</si>
  <si>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</si>
  <si>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</si>
  <si>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</si>
  <si>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</si>
  <si>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</si>
  <si>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</si>
  <si>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</si>
  <si>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</si>
  <si>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</si>
  <si>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</si>
  <si>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</si>
  <si>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</si>
  <si>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</si>
  <si>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</si>
  <si>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</si>
  <si>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</si>
  <si>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</si>
  <si>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</si>
  <si>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</si>
  <si>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</si>
  <si>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</si>
  <si>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</si>
  <si>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</si>
  <si>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</si>
  <si>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</si>
  <si>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</si>
  <si>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</si>
  <si>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</si>
  <si>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</si>
  <si>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</si>
  <si>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</si>
  <si>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</si>
  <si>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</si>
  <si>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</si>
  <si>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</si>
  <si>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</si>
  <si>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</si>
  <si>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</si>
  <si>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</si>
  <si>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</si>
  <si>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</si>
  <si>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</si>
  <si>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</si>
  <si>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</si>
  <si>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</si>
  <si>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</si>
  <si>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</si>
  <si>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</si>
  <si>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</si>
  <si>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</si>
  <si>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</si>
  <si>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</si>
  <si>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</si>
  <si>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</si>
  <si>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</si>
  <si>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</si>
  <si>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</si>
  <si>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</si>
  <si>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</si>
  <si>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</si>
  <si>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</si>
  <si>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</si>
  <si>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</si>
  <si>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</si>
  <si>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</si>
  <si>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</si>
  <si>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</si>
  <si>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</si>
  <si>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</si>
  <si>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</si>
  <si>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</si>
  <si>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</si>
  <si>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</si>
  <si>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</si>
  <si>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</si>
  <si>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</si>
  <si>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</si>
  <si>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</si>
  <si>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</si>
  <si>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</si>
  <si>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</si>
  <si>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</si>
  <si>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</si>
  <si>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</si>
  <si>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</si>
  <si>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</si>
  <si>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</si>
  <si>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</si>
  <si>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</si>
  <si>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</si>
  <si>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</si>
  <si>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</si>
  <si>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</si>
  <si>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</si>
  <si>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</si>
  <si>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</si>
  <si>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</si>
  <si>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</si>
  <si>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</si>
  <si>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</si>
  <si>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</si>
  <si>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</si>
  <si>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</si>
  <si>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</si>
  <si>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</si>
  <si>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</si>
  <si>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</si>
  <si>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</si>
  <si>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</si>
  <si>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</si>
  <si>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</si>
  <si>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</si>
  <si>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</si>
  <si>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</si>
  <si>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</si>
  <si>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</si>
  <si>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</si>
  <si>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</si>
  <si>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</si>
  <si>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</si>
  <si>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</si>
  <si>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</si>
  <si>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</si>
  <si>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</si>
  <si>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</si>
  <si>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</si>
  <si>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</si>
  <si>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</si>
  <si>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</si>
  <si>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</si>
  <si>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</si>
  <si>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</si>
  <si>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</si>
  <si>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</si>
  <si>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</si>
  <si>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</si>
  <si>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</si>
  <si>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</si>
  <si>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</si>
  <si>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</si>
  <si>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</si>
  <si>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</si>
  <si>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</si>
  <si>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</si>
  <si>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</si>
  <si>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</si>
  <si>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</si>
  <si>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</si>
  <si>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</si>
  <si>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</si>
  <si>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</si>
  <si>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</si>
  <si>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</si>
  <si>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</si>
  <si>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</si>
  <si>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</si>
  <si>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</si>
  <si>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101 мм до 150 мм включительно</t>
  </si>
  <si>
    <t>открытым способом в сухих грунтах, глубина 3 м</t>
  </si>
  <si>
    <t>от 151 мм до 200 мм включительно</t>
  </si>
  <si>
    <t>открытым способом в мокрых грунтах, глубина 3 м</t>
  </si>
  <si>
    <t>открытым способом в сухих грунтах, глубина 4 м</t>
  </si>
  <si>
    <t>открытым способом в мокрых грунтах, глубина 4 м</t>
  </si>
  <si>
    <t>проколом в сухих грунтах, глубина 3 м</t>
  </si>
  <si>
    <t>проколом в мокрых грунтах, глубина 3 м</t>
  </si>
  <si>
    <t>проколом в сухих грунтах, глубина 4 м</t>
  </si>
  <si>
    <t>проколом в мокрых грунтах, глубина 4 м</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</si>
  <si>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</si>
  <si>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</si>
  <si>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</si>
  <si>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</si>
  <si>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</si>
  <si>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</si>
  <si>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</si>
  <si>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</si>
  <si>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</si>
  <si>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</si>
  <si>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</si>
  <si>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</si>
  <si>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</si>
  <si>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</si>
  <si>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</si>
  <si>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</si>
  <si>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</si>
  <si>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</si>
  <si>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</si>
  <si>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</si>
  <si>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</si>
  <si>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</si>
  <si>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</si>
  <si>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</si>
  <si>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</si>
  <si>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</si>
  <si>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</si>
  <si>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</si>
  <si>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</si>
  <si>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</si>
  <si>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</si>
  <si>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</si>
  <si>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</si>
  <si>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</si>
  <si>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</si>
  <si>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</si>
  <si>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</si>
  <si>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</si>
  <si>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</si>
  <si>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</si>
  <si>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</si>
  <si>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</si>
  <si>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</si>
  <si>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</si>
  <si>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</si>
  <si>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</si>
  <si>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</si>
  <si>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</si>
  <si>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</si>
  <si>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</si>
  <si>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</si>
  <si>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</si>
  <si>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</si>
  <si>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</si>
  <si>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</si>
  <si>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</si>
  <si>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</si>
  <si>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</si>
  <si>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</si>
  <si>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</si>
  <si>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</si>
  <si>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</si>
  <si>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</si>
  <si>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</si>
  <si>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</si>
  <si>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</si>
  <si>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</si>
  <si>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</si>
  <si>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</si>
  <si>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</si>
  <si>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</si>
  <si>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</si>
  <si>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</si>
  <si>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</si>
  <si>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</si>
  <si>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</si>
  <si>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</si>
  <si>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</si>
  <si>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</si>
  <si>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</si>
  <si>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</si>
  <si>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</si>
  <si>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</si>
  <si>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</si>
  <si>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</si>
  <si>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</si>
  <si>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</si>
  <si>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</si>
  <si>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</si>
  <si>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</si>
  <si>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</si>
  <si>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</si>
  <si>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</si>
  <si>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</si>
  <si>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</si>
  <si>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</si>
  <si>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</si>
  <si>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</si>
  <si>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</si>
  <si>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</si>
  <si>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</si>
  <si>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</si>
  <si>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</si>
  <si>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</si>
  <si>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</si>
  <si>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</si>
  <si>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</si>
  <si>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</si>
  <si>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</si>
  <si>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</si>
  <si>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</si>
  <si>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</si>
  <si>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</si>
  <si>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</si>
  <si>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</si>
  <si>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</si>
  <si>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</si>
  <si>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</si>
  <si>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</si>
  <si>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</si>
  <si>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</si>
  <si>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</si>
  <si>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</si>
  <si>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</si>
  <si>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</si>
  <si>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</si>
  <si>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</si>
  <si>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</si>
  <si>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</si>
  <si>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</si>
  <si>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</si>
  <si>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</si>
  <si>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</si>
  <si>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</si>
  <si>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</si>
  <si>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</si>
  <si>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</si>
  <si>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</si>
  <si>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</si>
  <si>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</si>
  <si>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</si>
  <si>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</si>
  <si>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</si>
  <si>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</si>
  <si>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</si>
  <si>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</si>
  <si>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</si>
  <si>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</si>
  <si>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</si>
  <si>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</si>
  <si>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</si>
  <si>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</si>
  <si>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</si>
  <si>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</si>
  <si>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</si>
  <si>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</si>
  <si>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</si>
  <si>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</si>
  <si>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</si>
  <si>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</si>
  <si>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</si>
  <si>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</si>
  <si>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</si>
  <si>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</si>
  <si>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</si>
  <si>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</si>
  <si>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</si>
  <si>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</si>
  <si>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</si>
  <si>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</si>
  <si>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</si>
  <si>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</si>
  <si>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</si>
  <si>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</si>
  <si>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</si>
  <si>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</si>
  <si>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</si>
  <si>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</si>
  <si>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</si>
  <si>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</si>
  <si>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</si>
  <si>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</si>
  <si>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</si>
  <si>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</si>
  <si>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</si>
  <si>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</si>
  <si>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</si>
  <si>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</si>
  <si>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</si>
  <si>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</si>
  <si>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</si>
  <si>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</si>
  <si>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</si>
  <si>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</si>
  <si>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</si>
  <si>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</si>
  <si>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</si>
  <si>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</si>
  <si>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</si>
  <si>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</si>
  <si>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</si>
  <si>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</si>
  <si>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</si>
  <si>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</si>
  <si>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</si>
  <si>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</si>
  <si>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</si>
  <si>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</si>
  <si>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</si>
  <si>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</si>
  <si>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</si>
  <si>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</si>
  <si>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</si>
  <si>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</si>
  <si>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</si>
  <si>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</si>
  <si>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</si>
  <si>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</si>
  <si>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</si>
  <si>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</si>
  <si>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</si>
  <si>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</si>
  <si>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</si>
  <si>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</si>
  <si>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</si>
  <si>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</si>
  <si>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</si>
  <si>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</si>
  <si>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</si>
  <si>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</si>
  <si>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</si>
  <si>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</si>
  <si>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</si>
  <si>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</si>
  <si>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</si>
  <si>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</si>
  <si>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</si>
  <si>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</si>
  <si>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</si>
  <si>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</si>
  <si>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</si>
  <si>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</si>
  <si>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</si>
  <si>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</si>
  <si>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</si>
  <si>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</si>
  <si>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</si>
  <si>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</si>
  <si>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</si>
  <si>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</si>
  <si>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</si>
  <si>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</si>
  <si>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</si>
  <si>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</si>
  <si>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</si>
  <si>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</si>
  <si>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</si>
  <si>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</si>
  <si>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</si>
  <si>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</si>
  <si>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</si>
  <si>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</si>
  <si>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</si>
  <si>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</si>
  <si>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</si>
  <si>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</si>
  <si>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</si>
  <si>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</si>
  <si>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</si>
  <si>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</si>
  <si>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</si>
  <si>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</si>
  <si>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</si>
  <si>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</si>
  <si>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</si>
  <si>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</si>
  <si>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</si>
  <si>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</si>
  <si>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</si>
  <si>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</si>
  <si>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</si>
  <si>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</si>
  <si>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</si>
  <si>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</si>
  <si>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</si>
  <si>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</si>
  <si>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</si>
  <si>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</si>
  <si>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</si>
  <si>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</si>
  <si>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</si>
  <si>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</si>
  <si>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</si>
  <si>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</si>
  <si>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</si>
  <si>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</si>
  <si>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</si>
  <si>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</si>
  <si>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</si>
  <si>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</si>
  <si>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</si>
  <si>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</si>
  <si>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</si>
  <si>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</si>
  <si>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</si>
  <si>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</si>
  <si>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</si>
  <si>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</si>
  <si>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</si>
  <si>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</si>
  <si>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</si>
  <si>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</si>
  <si>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</si>
  <si>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</si>
  <si>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</si>
  <si>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</si>
  <si>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</si>
  <si>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</si>
  <si>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</si>
  <si>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</si>
  <si>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</si>
  <si>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</si>
  <si>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</si>
  <si>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</si>
  <si>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</si>
  <si>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</si>
  <si>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</si>
  <si>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</si>
  <si>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</si>
  <si>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</si>
  <si>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</si>
  <si>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</si>
  <si>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</si>
  <si>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</si>
  <si>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</si>
  <si>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</si>
  <si>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</si>
  <si>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</si>
  <si>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</si>
  <si>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</si>
  <si>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</si>
  <si>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</si>
  <si>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</si>
  <si>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</si>
  <si>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</si>
  <si>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</si>
  <si>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</si>
  <si>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</si>
  <si>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</si>
  <si>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</si>
  <si>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</si>
  <si>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</si>
  <si>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</si>
  <si>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</si>
  <si>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</si>
  <si>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</si>
  <si>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</si>
  <si>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</si>
  <si>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</si>
  <si>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</si>
  <si>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</si>
  <si>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</si>
  <si>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</si>
  <si>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</si>
  <si>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</si>
  <si>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</si>
  <si>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</si>
  <si>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</si>
  <si>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</si>
  <si>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</si>
  <si>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</si>
  <si>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</si>
  <si>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</si>
  <si>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</si>
  <si>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</si>
  <si>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</si>
  <si>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</si>
  <si>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</si>
  <si>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</si>
  <si>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</si>
  <si>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</si>
  <si>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</si>
  <si>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</si>
  <si>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</si>
  <si>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</si>
  <si>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</si>
  <si>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</si>
  <si>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</si>
  <si>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</si>
  <si>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</si>
  <si>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</si>
  <si>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</si>
  <si>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</si>
  <si>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</si>
  <si>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</si>
  <si>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</si>
  <si>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</si>
  <si>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</si>
  <si>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</si>
  <si>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</si>
  <si>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</si>
  <si>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</si>
  <si>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</si>
  <si>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</si>
  <si>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</si>
  <si>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</si>
  <si>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</si>
  <si>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</si>
  <si>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</si>
  <si>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</si>
  <si>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</si>
  <si>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</si>
  <si>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</si>
  <si>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</si>
  <si>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</si>
  <si>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</si>
  <si>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</si>
  <si>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</si>
  <si>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</si>
  <si>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</si>
  <si>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</si>
  <si>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</si>
  <si>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</si>
  <si>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</si>
  <si>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</si>
  <si>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</si>
  <si>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</si>
  <si>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</si>
  <si>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</si>
  <si>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</si>
  <si>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</si>
  <si>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</si>
  <si>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</si>
  <si>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</si>
  <si>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</si>
  <si>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</si>
  <si>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</si>
  <si>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</si>
  <si>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</si>
  <si>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</si>
  <si>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</si>
  <si>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</si>
  <si>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</si>
  <si>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</si>
  <si>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</si>
  <si>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</si>
  <si>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</si>
  <si>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</si>
  <si>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</si>
  <si>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</si>
  <si>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</si>
  <si>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</si>
  <si>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</si>
  <si>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</si>
  <si>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</si>
  <si>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</si>
  <si>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</si>
  <si>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</si>
  <si>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</si>
  <si>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</si>
  <si>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</si>
  <si>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</si>
  <si>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</si>
  <si>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</si>
  <si>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</si>
  <si>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</si>
  <si>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</si>
  <si>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</si>
  <si>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</si>
  <si>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</si>
  <si>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</si>
  <si>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</si>
  <si>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</si>
  <si>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</si>
  <si>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</si>
  <si>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</si>
  <si>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</si>
  <si>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</si>
  <si>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</si>
  <si>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</si>
  <si>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</si>
  <si>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</si>
  <si>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</si>
  <si>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</si>
  <si>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</si>
  <si>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</si>
  <si>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</si>
  <si>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</si>
  <si>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</si>
  <si>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</si>
  <si>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</si>
  <si>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</si>
  <si>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</si>
  <si>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</si>
  <si>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</si>
  <si>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</si>
  <si>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</si>
  <si>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</si>
  <si>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</si>
  <si>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</si>
  <si>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</si>
  <si>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</si>
  <si>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</si>
  <si>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</si>
  <si>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</si>
  <si>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</si>
  <si>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</si>
  <si>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</si>
  <si>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</si>
  <si>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</si>
  <si>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</si>
  <si>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</si>
  <si>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</si>
  <si>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</si>
  <si>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</si>
  <si>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https://www.vod12.ru/abonents/tarify-i-normy-2024.php</t>
  </si>
  <si>
    <t>https://portal.eias.ru/Portal/DownloadPage.aspx?type=12&amp;guid=1c3ac443-2539-46ba-93b3-f85ff452ceac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</si>
  <si>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</si>
  <si>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https://portal.eias.ru/Portal/DownloadPage.aspx?type=12&amp;guid=5d4b32e0-8144-4528-84e7-3fb151f3f098</t>
  </si>
  <si>
    <t>Постановление  Правительства РФ от 30 ноября 2021 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</si>
  <si>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</si>
  <si>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</si>
  <si>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</si>
  <si>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(8362) 41-82-00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</si>
  <si>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</si>
  <si>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</si>
  <si>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424039, Республика Марий Эл, г.Йошкар-Ола, ул.Дружбы, д.2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</si>
  <si>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</si>
  <si>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</si>
  <si>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</si>
  <si>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</si>
  <si>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</si>
  <si>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</si>
  <si>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</si>
  <si>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</si>
  <si>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</si>
  <si>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</si>
  <si>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</si>
  <si>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</si>
  <si>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</si>
  <si>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</si>
  <si>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</si>
  <si>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</si>
  <si>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</si>
  <si>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</si>
  <si>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</si>
  <si>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</si>
  <si>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</si>
  <si>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</si>
  <si>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</si>
  <si>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</si>
  <si>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</si>
  <si>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</si>
  <si>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</si>
  <si>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</si>
  <si>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</si>
  <si>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</si>
  <si>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</si>
  <si>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</si>
  <si>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</si>
  <si>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</si>
  <si>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</si>
  <si>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</si>
  <si>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</si>
  <si>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</si>
  <si>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</si>
  <si>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</si>
  <si>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</si>
  <si>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</si>
  <si>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</si>
  <si>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</si>
  <si>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</si>
  <si>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</si>
  <si>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</si>
  <si>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</si>
  <si>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</si>
  <si>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</si>
  <si>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</si>
  <si>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</si>
  <si>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</si>
  <si>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</si>
  <si>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</si>
  <si>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</si>
  <si>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</si>
  <si>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</si>
  <si>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</si>
  <si>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</si>
  <si>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</si>
  <si>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</si>
  <si>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</si>
  <si>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</si>
  <si>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</si>
  <si>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</si>
  <si>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</si>
  <si>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</si>
  <si>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</si>
  <si>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</si>
  <si>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</si>
  <si>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</si>
  <si>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</si>
  <si>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</si>
  <si>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</si>
  <si>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</si>
  <si>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</si>
  <si>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</si>
  <si>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</si>
  <si>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</si>
  <si>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</si>
  <si>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</si>
  <si>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</si>
  <si>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</si>
  <si>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</si>
  <si>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</si>
  <si>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</si>
  <si>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</si>
  <si>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</si>
  <si>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</si>
  <si>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</si>
  <si>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</si>
  <si>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</si>
  <si>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</si>
  <si>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</si>
  <si>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</si>
  <si>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</si>
  <si>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</si>
  <si>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</si>
  <si>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</si>
  <si>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</si>
  <si>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</si>
  <si>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</si>
  <si>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</si>
  <si>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</si>
  <si>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</si>
  <si>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</si>
  <si>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</si>
  <si>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</si>
  <si>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</si>
  <si>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</si>
  <si>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</si>
  <si>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</si>
  <si>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</si>
  <si>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</si>
  <si>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</si>
  <si>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</si>
  <si>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</si>
  <si>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</si>
  <si>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</si>
  <si>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</si>
  <si>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</si>
  <si>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</si>
  <si>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</si>
  <si>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</si>
  <si>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</si>
  <si>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</si>
  <si>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</si>
  <si>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</si>
  <si>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</si>
  <si>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</si>
  <si>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</si>
  <si>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</si>
  <si>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</si>
  <si>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</si>
  <si>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</si>
  <si>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</si>
  <si>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</si>
  <si>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</si>
  <si>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</si>
  <si>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</si>
  <si>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</si>
  <si>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</si>
  <si>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</si>
  <si>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</si>
  <si>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</si>
  <si>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</si>
  <si>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</si>
  <si>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</si>
  <si>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</si>
  <si>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</si>
  <si>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</si>
  <si>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</si>
  <si>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</si>
  <si>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</si>
  <si>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</si>
  <si>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</si>
  <si>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</si>
  <si>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</si>
  <si>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</si>
  <si>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</si>
  <si>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</si>
  <si>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</si>
  <si>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</si>
  <si>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</si>
  <si>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</si>
  <si>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</si>
  <si>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</si>
  <si>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</si>
  <si>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</si>
  <si>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</si>
  <si>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</si>
  <si>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</si>
  <si>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</si>
  <si>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</si>
  <si>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</si>
  <si>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</si>
  <si>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</si>
  <si>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</si>
  <si>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</si>
  <si>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</si>
  <si>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</si>
  <si>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</si>
  <si>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</si>
  <si>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</si>
  <si>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</si>
  <si>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</si>
  <si>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</si>
  <si>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</si>
  <si>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</si>
  <si>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</si>
  <si>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</si>
  <si>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</si>
  <si>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</si>
  <si>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</si>
  <si>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</si>
  <si>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</si>
  <si>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</si>
  <si>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</si>
  <si>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</si>
  <si>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</si>
  <si>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</si>
  <si>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</si>
  <si>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</si>
  <si>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</si>
  <si>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</si>
  <si>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</si>
  <si>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</si>
  <si>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</si>
  <si>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</si>
  <si>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</si>
  <si>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</si>
  <si>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</si>
  <si>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</si>
  <si>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</si>
  <si>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</si>
  <si>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</si>
  <si>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</si>
  <si>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</si>
  <si>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</si>
  <si>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</si>
  <si>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</si>
  <si>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</si>
  <si>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</si>
  <si>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</si>
  <si>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</si>
  <si>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</si>
  <si>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</si>
  <si>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</si>
  <si>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</si>
  <si>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</si>
  <si>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</si>
  <si>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</si>
  <si>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</si>
  <si>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</si>
  <si>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</si>
  <si>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</si>
  <si>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</si>
  <si>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</si>
  <si>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</si>
  <si>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</si>
  <si>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</si>
  <si>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</si>
  <si>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</si>
  <si>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</si>
  <si>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</si>
  <si>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</si>
  <si>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</si>
  <si>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</si>
  <si>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</si>
  <si>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</si>
  <si>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</si>
  <si>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</si>
  <si>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</si>
  <si>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</si>
  <si>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</si>
  <si>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</si>
  <si>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</si>
  <si>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</si>
  <si>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</si>
  <si>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</si>
  <si>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</si>
  <si>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</si>
  <si>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</si>
  <si>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</si>
  <si>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</si>
  <si>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</si>
  <si>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</si>
  <si>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</si>
  <si>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</si>
  <si>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</si>
  <si>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</si>
  <si>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</si>
  <si>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</si>
  <si>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</si>
  <si>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</si>
  <si>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</si>
  <si>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</si>
  <si>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</si>
  <si>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</si>
  <si>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</si>
  <si>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</si>
  <si>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</si>
  <si>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</si>
  <si>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</si>
  <si>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</si>
  <si>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</si>
  <si>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</si>
  <si>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</si>
  <si>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</si>
  <si>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</si>
  <si>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</si>
  <si>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</si>
  <si>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</si>
  <si>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</si>
  <si>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</si>
  <si>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</si>
  <si>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</si>
  <si>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</si>
  <si>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</si>
  <si>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</si>
  <si>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</si>
  <si>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</si>
  <si>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</si>
  <si>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</si>
  <si>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</si>
  <si>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</si>
  <si>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</si>
  <si>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</si>
  <si>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</si>
  <si>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</si>
  <si>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</si>
  <si>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</si>
  <si>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</si>
  <si>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</si>
  <si>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</si>
  <si>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</si>
  <si>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</si>
  <si>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</si>
  <si>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</si>
  <si>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</si>
  <si>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</si>
  <si>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</si>
  <si>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</si>
  <si>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</si>
  <si>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</si>
  <si>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</si>
  <si>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</si>
  <si>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</si>
  <si>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</si>
  <si>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</si>
  <si>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</si>
  <si>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</si>
  <si>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</si>
  <si>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</si>
  <si>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</si>
  <si>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</si>
  <si>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</si>
  <si>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</si>
  <si>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</si>
  <si>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</si>
  <si>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</si>
  <si>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</si>
  <si>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</si>
  <si>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</si>
  <si>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</si>
  <si>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</si>
  <si>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</si>
  <si>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</si>
  <si>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</si>
  <si>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</si>
  <si>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</si>
  <si>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</si>
  <si>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</si>
  <si>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</si>
  <si>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</si>
  <si>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</si>
  <si>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</si>
  <si>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</si>
  <si>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</si>
  <si>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</si>
  <si>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</si>
  <si>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</si>
  <si>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</si>
  <si>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</si>
  <si>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</si>
  <si>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</si>
  <si>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</si>
  <si>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</si>
  <si>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</si>
  <si>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</si>
  <si>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</si>
  <si>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</si>
  <si>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</si>
  <si>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</si>
  <si>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</si>
  <si>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</si>
  <si>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</si>
  <si>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</si>
  <si>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</si>
  <si>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</si>
  <si>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</si>
  <si>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</si>
  <si>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</si>
  <si>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</si>
  <si>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</si>
  <si>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</si>
  <si>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</si>
  <si>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</si>
  <si>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</si>
  <si>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</si>
  <si>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</si>
  <si>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</si>
  <si>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</si>
  <si>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</si>
  <si>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</si>
  <si>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</si>
  <si>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</si>
  <si>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</si>
  <si>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</si>
  <si>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</si>
  <si>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</si>
  <si>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</si>
  <si>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</si>
  <si>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</si>
  <si>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</si>
  <si>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</si>
  <si>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</si>
  <si>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</si>
  <si>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</si>
  <si>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</si>
  <si>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</si>
  <si>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</si>
  <si>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</si>
  <si>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</si>
  <si>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</si>
  <si>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</si>
  <si>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</si>
  <si>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</si>
  <si>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</si>
  <si>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</si>
  <si>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</si>
  <si>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</si>
  <si>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</si>
  <si>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</si>
  <si>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</si>
  <si>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</si>
  <si>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</si>
  <si>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</si>
  <si>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</si>
  <si>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</si>
  <si>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</si>
  <si>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</si>
  <si>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</si>
  <si>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</si>
  <si>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</si>
  <si>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</si>
  <si>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</si>
  <si>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</si>
  <si>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</si>
  <si>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</si>
  <si>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</si>
  <si>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</si>
  <si>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</si>
  <si>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</si>
  <si>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</si>
  <si>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</si>
  <si>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</si>
  <si>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</si>
  <si>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</si>
  <si>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</si>
  <si>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</si>
  <si>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</si>
  <si>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</si>
  <si>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</si>
  <si>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</si>
  <si>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</si>
  <si>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</si>
  <si>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</si>
  <si>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</si>
  <si>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</si>
  <si>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</si>
  <si>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</si>
  <si>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</si>
  <si>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</si>
  <si>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</si>
  <si>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</si>
  <si>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</si>
  <si>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</si>
  <si>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</si>
  <si>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</si>
  <si>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</si>
  <si>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</si>
  <si>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</si>
  <si>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</si>
  <si>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</si>
  <si>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</si>
  <si>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</si>
  <si>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</si>
  <si>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</si>
  <si>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</si>
  <si>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</si>
  <si>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</si>
  <si>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</si>
  <si>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</si>
  <si>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</si>
  <si>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</si>
  <si>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</si>
  <si>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</si>
  <si>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</si>
  <si>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</si>
  <si>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</si>
  <si>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</si>
  <si>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</si>
  <si>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</si>
  <si>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</si>
  <si>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</si>
  <si>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</si>
  <si>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</si>
  <si>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</si>
  <si>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</si>
  <si>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</si>
  <si>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</si>
  <si>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</si>
  <si>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</si>
  <si>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</si>
  <si>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</si>
  <si>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</si>
  <si>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</si>
  <si>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</si>
  <si>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</si>
  <si>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</si>
  <si>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</si>
  <si>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</si>
  <si>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</si>
  <si>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</si>
  <si>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</si>
  <si>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</si>
  <si>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</si>
  <si>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</si>
  <si>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</si>
  <si>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</si>
  <si>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</si>
  <si>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</si>
  <si>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</si>
  <si>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</si>
  <si>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</si>
  <si>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</si>
  <si>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</si>
  <si>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</si>
  <si>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</si>
  <si>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</si>
  <si>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</si>
  <si>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</si>
  <si>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</si>
  <si>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</si>
  <si>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</si>
  <si>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</si>
  <si>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</si>
  <si>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</si>
  <si>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</si>
  <si>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</si>
  <si>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</si>
  <si>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</si>
  <si>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</si>
  <si>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</si>
  <si>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</si>
  <si>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</si>
  <si>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</si>
  <si>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</si>
  <si>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</si>
  <si>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</si>
  <si>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</si>
  <si>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</si>
  <si>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</si>
  <si>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</si>
  <si>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</si>
  <si>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</si>
  <si>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</si>
  <si>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</si>
  <si>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</si>
  <si>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</si>
  <si>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</si>
  <si>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</si>
  <si>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</si>
  <si>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</si>
  <si>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</si>
  <si>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</si>
  <si>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</si>
  <si>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</si>
  <si>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</si>
  <si>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</si>
  <si>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</si>
  <si>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</si>
  <si>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</si>
  <si>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</si>
  <si>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</si>
  <si>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</si>
  <si>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</si>
  <si>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</si>
  <si>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</si>
  <si>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</si>
  <si>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</si>
  <si>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</si>
  <si>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</si>
  <si>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</si>
  <si>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</si>
  <si>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</si>
  <si>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</si>
  <si>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</si>
  <si>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</si>
  <si>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</si>
  <si>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</si>
  <si>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</si>
  <si>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</si>
  <si>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</si>
  <si>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</si>
  <si>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</si>
  <si>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</si>
  <si>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</si>
  <si>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</si>
  <si>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</si>
  <si>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</si>
  <si>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</si>
  <si>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</si>
  <si>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</si>
  <si>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</si>
  <si>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</si>
  <si>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</si>
  <si>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</si>
  <si>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</si>
  <si>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</si>
  <si>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</si>
  <si>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</si>
  <si>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</si>
  <si>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</si>
  <si>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</si>
  <si>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</si>
  <si>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</si>
  <si>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</si>
  <si>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</si>
  <si>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</si>
  <si>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</si>
  <si>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</si>
  <si>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</si>
  <si>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</si>
  <si>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</si>
  <si>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</si>
  <si>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</si>
  <si>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</si>
  <si>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</si>
  <si>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</si>
  <si>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</si>
  <si>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</si>
  <si>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</si>
  <si>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</si>
  <si>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</si>
  <si>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</si>
  <si>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</si>
  <si>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</si>
  <si>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</si>
  <si>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</si>
  <si>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</si>
  <si>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</si>
  <si>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</si>
  <si>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</si>
  <si>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</si>
  <si>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</si>
  <si>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</si>
  <si>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</si>
  <si>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</si>
  <si>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</si>
  <si>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</si>
  <si>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</si>
  <si>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</si>
  <si>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</si>
  <si>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</si>
  <si>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</si>
  <si>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</si>
  <si>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</si>
  <si>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</si>
  <si>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</si>
  <si>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</si>
  <si>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</si>
  <si>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</si>
  <si>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</si>
  <si>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</si>
  <si>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</si>
  <si>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</si>
  <si>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</si>
  <si>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</si>
  <si>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</si>
  <si>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</si>
  <si>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</si>
  <si>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</si>
  <si>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</si>
  <si>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</si>
  <si>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</si>
  <si>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</si>
  <si>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</si>
  <si>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</si>
  <si>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</si>
  <si>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</si>
  <si>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</si>
  <si>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</si>
  <si>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</si>
  <si>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</si>
  <si>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</si>
  <si>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</si>
  <si>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</si>
  <si>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</si>
  <si>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</si>
  <si>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</si>
  <si>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</si>
  <si>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</si>
  <si>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</si>
  <si>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</si>
  <si>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</si>
  <si>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</si>
  <si>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</si>
  <si>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</si>
  <si>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</si>
  <si>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</si>
  <si>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</si>
  <si>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</si>
  <si>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</si>
  <si>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</si>
  <si>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</si>
  <si>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</si>
  <si>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</si>
  <si>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</si>
  <si>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</si>
  <si>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</si>
  <si>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</si>
  <si>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</si>
  <si>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</si>
  <si>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</si>
  <si>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</si>
  <si>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</si>
  <si>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</si>
  <si>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</si>
  <si>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</si>
  <si>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</si>
  <si>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</si>
  <si>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</si>
  <si>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</si>
  <si>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</si>
  <si>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</si>
  <si>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</si>
  <si>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</si>
  <si>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</si>
  <si>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</si>
  <si>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</si>
  <si>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</si>
  <si>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</si>
  <si>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</si>
  <si>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</si>
  <si>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</si>
  <si>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</si>
  <si>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</si>
  <si>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</si>
  <si>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</si>
  <si>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</si>
  <si>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</si>
  <si>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</si>
  <si>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</si>
  <si>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</si>
  <si>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</si>
  <si>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</si>
  <si>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</si>
  <si>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</si>
  <si>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</si>
  <si>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</si>
  <si>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</si>
  <si>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</si>
  <si>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</si>
  <si>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</si>
  <si>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</si>
  <si>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</si>
  <si>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</si>
  <si>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</si>
  <si>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</si>
  <si>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</si>
  <si>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</si>
  <si>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</si>
  <si>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</si>
  <si>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</si>
  <si>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</si>
  <si>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</si>
  <si>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</si>
  <si>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</si>
  <si>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</si>
  <si>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</si>
  <si>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</si>
  <si>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</si>
  <si>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</si>
  <si>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</si>
  <si>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</si>
  <si>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</si>
  <si>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</si>
  <si>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</si>
  <si>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</si>
  <si>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</si>
  <si>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</si>
  <si>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</si>
  <si>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</si>
  <si>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</si>
  <si>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</si>
  <si>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</si>
  <si>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</si>
  <si>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</si>
  <si>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</si>
  <si>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</si>
  <si>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</si>
  <si>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</si>
  <si>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</si>
  <si>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</si>
  <si>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</si>
  <si>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</si>
  <si>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</si>
  <si>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</si>
  <si>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</si>
  <si>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</si>
  <si>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</si>
  <si>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</si>
  <si>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</si>
  <si>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</si>
  <si>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</si>
  <si>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</si>
  <si>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</si>
  <si>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</si>
  <si>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</si>
  <si>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</si>
  <si>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</si>
  <si>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</si>
  <si>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</si>
  <si>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</si>
  <si>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</si>
  <si>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</si>
  <si>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</si>
  <si>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</si>
  <si>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</si>
  <si>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</si>
  <si>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</si>
  <si>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</si>
  <si>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</si>
  <si>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</si>
  <si>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</si>
  <si>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</si>
  <si>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</si>
  <si>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</si>
  <si>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</si>
  <si>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</si>
  <si>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</si>
  <si>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</si>
  <si>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</si>
  <si>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</si>
  <si>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</si>
  <si>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</si>
  <si>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</si>
  <si>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</si>
  <si>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</si>
  <si>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</si>
  <si>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</si>
  <si>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</si>
  <si>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</si>
  <si>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</si>
  <si>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</si>
  <si>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</si>
  <si>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</si>
  <si>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</si>
  <si>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</si>
  <si>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</si>
  <si>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</si>
  <si>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</si>
  <si>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</si>
  <si>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</si>
  <si>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</si>
  <si>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</si>
  <si>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</si>
  <si>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</si>
  <si>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</si>
  <si>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</si>
  <si>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</si>
  <si>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</si>
  <si>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</si>
  <si>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</si>
  <si>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</si>
  <si>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</si>
  <si>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</si>
  <si>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</si>
  <si>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</si>
  <si>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</si>
  <si>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</si>
  <si>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</si>
  <si>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</si>
  <si>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</si>
  <si>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</si>
  <si>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</si>
  <si>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</si>
  <si>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</si>
  <si>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</si>
  <si>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</si>
  <si>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</si>
  <si>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</si>
  <si>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</si>
  <si>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</si>
  <si>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</si>
  <si>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</si>
  <si>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</si>
  <si>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</si>
  <si>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</si>
  <si>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</si>
  <si>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</si>
  <si>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</si>
  <si>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</si>
  <si>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</si>
  <si>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</si>
  <si>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</si>
  <si>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</si>
  <si>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</si>
  <si>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</si>
  <si>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</si>
  <si>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</si>
  <si>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</si>
  <si>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</si>
  <si>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</si>
  <si>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</si>
  <si>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</si>
  <si>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</si>
  <si>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</si>
  <si>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</si>
  <si>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</si>
  <si>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</si>
  <si>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</si>
  <si>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</si>
  <si>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</si>
  <si>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</si>
  <si>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</si>
  <si>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</si>
  <si>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</si>
  <si>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</si>
  <si>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</si>
  <si>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</si>
  <si>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</si>
  <si>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</si>
  <si>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</si>
  <si>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</si>
  <si>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</si>
  <si>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</si>
  <si>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</si>
  <si>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</si>
  <si>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</si>
  <si>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</si>
  <si>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</si>
  <si>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</si>
  <si>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</si>
  <si>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</si>
  <si>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</si>
  <si>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</si>
  <si>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</si>
  <si>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</si>
  <si>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</si>
  <si>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</si>
  <si>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</si>
  <si>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</si>
  <si>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</si>
  <si>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</si>
  <si>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</si>
  <si>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</si>
  <si>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</si>
  <si>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</si>
  <si>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</si>
  <si>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</si>
  <si>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</si>
  <si>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</si>
  <si>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</si>
  <si>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</si>
  <si>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</si>
  <si>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</si>
  <si>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</si>
  <si>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</si>
  <si>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</si>
  <si>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</si>
  <si>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</si>
  <si>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</si>
  <si>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</si>
  <si>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</si>
  <si>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</si>
  <si>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</si>
  <si>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</si>
  <si>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</si>
  <si>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</si>
  <si>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</si>
  <si>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</si>
  <si>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</si>
  <si>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</si>
  <si>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</si>
  <si>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</si>
  <si>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</si>
  <si>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</si>
  <si>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</si>
  <si>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</si>
  <si>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</si>
  <si>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</si>
  <si>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</si>
  <si>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</si>
  <si>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</si>
  <si>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</si>
  <si>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</si>
  <si>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</si>
  <si>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</si>
  <si>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</si>
  <si>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</si>
  <si>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</si>
  <si>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</si>
  <si>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</si>
  <si>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</si>
  <si>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</si>
  <si>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</si>
  <si>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</si>
  <si>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</si>
  <si>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</si>
  <si>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</si>
  <si>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</si>
  <si>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</si>
  <si>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</si>
  <si>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</si>
  <si>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</si>
  <si>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</si>
  <si>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</si>
  <si>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</si>
  <si>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</si>
  <si>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</si>
  <si>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</si>
  <si>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</si>
  <si>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</si>
  <si>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</si>
  <si>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</si>
  <si>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</si>
  <si>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</si>
  <si>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</si>
  <si>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</si>
  <si>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</si>
  <si>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</si>
  <si>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</si>
  <si>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</si>
  <si>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</si>
  <si>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</si>
  <si>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</si>
  <si>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</si>
  <si>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</si>
  <si>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</si>
  <si>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</si>
  <si>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</si>
  <si>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</si>
  <si>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</si>
  <si>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</si>
  <si>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</si>
  <si>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</si>
  <si>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</si>
  <si>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</si>
  <si>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</si>
  <si>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</si>
  <si>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</si>
  <si>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</si>
  <si>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</si>
  <si>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</si>
  <si>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</si>
  <si>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</si>
  <si>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</si>
  <si>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</si>
  <si>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</si>
  <si>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</si>
  <si>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</si>
  <si>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</si>
  <si>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</si>
  <si>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</si>
  <si>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</si>
  <si>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</si>
  <si>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</si>
  <si>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</si>
  <si>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</si>
  <si>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</si>
  <si>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</si>
  <si>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</si>
  <si>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</si>
  <si>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</si>
  <si>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</si>
  <si>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</si>
  <si>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</si>
  <si>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</si>
  <si>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</si>
  <si>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</si>
  <si>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</si>
  <si>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</si>
  <si>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</si>
  <si>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</si>
  <si>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</si>
  <si>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</si>
  <si>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</si>
  <si>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</si>
  <si>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</si>
  <si>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</si>
  <si>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</si>
  <si>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</si>
  <si>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</si>
  <si>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</si>
  <si>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</si>
  <si>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</si>
  <si>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</si>
  <si>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</si>
  <si>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</si>
  <si>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</si>
  <si>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</si>
  <si>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</si>
  <si>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</si>
  <si>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</si>
  <si>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</si>
  <si>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</si>
  <si>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</si>
  <si>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</si>
  <si>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</si>
  <si>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</si>
  <si>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</si>
  <si>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</si>
  <si>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</si>
  <si>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</si>
  <si>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</si>
  <si>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</si>
  <si>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</si>
  <si>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</si>
  <si>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</si>
  <si>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</si>
  <si>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</si>
  <si>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</si>
  <si>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</si>
  <si>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</si>
  <si>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</si>
  <si>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</si>
  <si>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</si>
  <si>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</si>
  <si>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</si>
  <si>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</si>
  <si>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</si>
  <si>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2629</t>
  </si>
  <si>
    <t>30791606</t>
  </si>
  <si>
    <t>АО "ГУ ЖКХ"</t>
  </si>
  <si>
    <t>5116000922</t>
  </si>
  <si>
    <t>166045001</t>
  </si>
  <si>
    <t>30335229</t>
  </si>
  <si>
    <t>770401001</t>
  </si>
  <si>
    <t>27681548</t>
  </si>
  <si>
    <t>АО "Деревообрабатывающий завод"</t>
  </si>
  <si>
    <t>1215013266</t>
  </si>
  <si>
    <t>26354131</t>
  </si>
  <si>
    <t>АО "Марийский машиностроительный завод" п. Луговой</t>
  </si>
  <si>
    <t>1200001885</t>
  </si>
  <si>
    <t>121550001</t>
  </si>
  <si>
    <t>26608465</t>
  </si>
  <si>
    <t>ГУП РМЭ "Лечебно-оздоровительный комплекс "Лесная сказка"</t>
  </si>
  <si>
    <t>1215042186</t>
  </si>
  <si>
    <t>18-01-2023 00:00:00</t>
  </si>
  <si>
    <t>28053908</t>
  </si>
  <si>
    <t>ГУП РМЭ "Оздоровительный комплекс Шап"</t>
  </si>
  <si>
    <t>1207010230</t>
  </si>
  <si>
    <t>120701001</t>
  </si>
  <si>
    <t>26354137</t>
  </si>
  <si>
    <t>ГУП РМЭ "Санаторий "Сосновый бор"</t>
  </si>
  <si>
    <t>1215021563</t>
  </si>
  <si>
    <t>26-08-1998 00:00:00</t>
  </si>
  <si>
    <t>12-12-2023 00:00:00</t>
  </si>
  <si>
    <t>МИНИСТЕРСТВО ПРОМЫШЛЕННОСТИ, ЭКОНОМИЧЕСКОГО РАЗВИТИЯ И ТОРГОВЛИ РЕСПУБЛИКИ МАРИЙ ЭЛ</t>
  </si>
  <si>
    <t>1215107796</t>
  </si>
  <si>
    <t>26354111</t>
  </si>
  <si>
    <t>МКП "Тепловые сети" Волжского муниципального района</t>
  </si>
  <si>
    <t>1201004423</t>
  </si>
  <si>
    <t>120101001</t>
  </si>
  <si>
    <t>06-02-2006 00:00:00</t>
  </si>
  <si>
    <t>31196260</t>
  </si>
  <si>
    <t>МКУП городского поселения Советский "Спектр"</t>
  </si>
  <si>
    <t>1213005291</t>
  </si>
  <si>
    <t>121301001</t>
  </si>
  <si>
    <t>26429817</t>
  </si>
  <si>
    <t>МП "Куженерводоканал"</t>
  </si>
  <si>
    <t>1205003413</t>
  </si>
  <si>
    <t>120501001</t>
  </si>
  <si>
    <t>06-10-2005 00:00:00</t>
  </si>
  <si>
    <t>26354135</t>
  </si>
  <si>
    <t>МП "Троллейбусный транспорт"</t>
  </si>
  <si>
    <t>1215015760</t>
  </si>
  <si>
    <t>21-06-2003 00:00:00</t>
  </si>
  <si>
    <t>31237473</t>
  </si>
  <si>
    <t>МУП "Горномарийский"</t>
  </si>
  <si>
    <t>1223000574</t>
  </si>
  <si>
    <t>122301001</t>
  </si>
  <si>
    <t>16-10-2018 00:00:00</t>
  </si>
  <si>
    <t>26354133</t>
  </si>
  <si>
    <t>МУП "Йошкар-Олинская ТЭЦ-1"</t>
  </si>
  <si>
    <t>1215011170</t>
  </si>
  <si>
    <t>02-05-2006 00:00:00</t>
  </si>
  <si>
    <t>26354125</t>
  </si>
  <si>
    <t>МУП "Оршанский жилкомсервис"</t>
  </si>
  <si>
    <t>1210003546</t>
  </si>
  <si>
    <t>121001001</t>
  </si>
  <si>
    <t>19-10-2006 00:00:00</t>
  </si>
  <si>
    <t>28966531</t>
  </si>
  <si>
    <t>МУП "ТеплоВодоканал" Килемарского муниципального района</t>
  </si>
  <si>
    <t>1204000106</t>
  </si>
  <si>
    <t>120401001</t>
  </si>
  <si>
    <t>26370675</t>
  </si>
  <si>
    <t>МУПКХ МО "Юринский район"</t>
  </si>
  <si>
    <t>1214000024</t>
  </si>
  <si>
    <t>121401001</t>
  </si>
  <si>
    <t>03-07-2003 00:00:00</t>
  </si>
  <si>
    <t>26354129</t>
  </si>
  <si>
    <t>ОАО "Марбиофарм"</t>
  </si>
  <si>
    <t>1215001662</t>
  </si>
  <si>
    <t>15-12-2002 00:00:00</t>
  </si>
  <si>
    <t>26354118</t>
  </si>
  <si>
    <t>ОАО "Марий Эл Дорстрой" Медведевский филиал</t>
  </si>
  <si>
    <t>1215154154</t>
  </si>
  <si>
    <t>04-09-1996 00:00:00</t>
  </si>
  <si>
    <t>26354106</t>
  </si>
  <si>
    <t>ОАО "Марийскавтодор"</t>
  </si>
  <si>
    <t>1215147005</t>
  </si>
  <si>
    <t>26416439</t>
  </si>
  <si>
    <t>ОАО "Марийский ЦБК"</t>
  </si>
  <si>
    <t>1216010765</t>
  </si>
  <si>
    <t>121601001</t>
  </si>
  <si>
    <t>09-10-2002 00:00:00</t>
  </si>
  <si>
    <t>26354136</t>
  </si>
  <si>
    <t>ОАО "Стройкерамика"</t>
  </si>
  <si>
    <t>1215017479</t>
  </si>
  <si>
    <t>27-06-2002 00:00:00</t>
  </si>
  <si>
    <t>28426349</t>
  </si>
  <si>
    <t>ООО "Автотест"</t>
  </si>
  <si>
    <t>1215108574</t>
  </si>
  <si>
    <t>28873113</t>
  </si>
  <si>
    <t>ООО "Атекс"</t>
  </si>
  <si>
    <t>1208007342</t>
  </si>
  <si>
    <t>120801001</t>
  </si>
  <si>
    <t>26370664</t>
  </si>
  <si>
    <t>ООО "ВодоканалCервис"</t>
  </si>
  <si>
    <t>1213005220</t>
  </si>
  <si>
    <t>15-10-2008 00:00:00</t>
  </si>
  <si>
    <t>31043736</t>
  </si>
  <si>
    <t>ООО "Газэнергосистемы"</t>
  </si>
  <si>
    <t>1215093952</t>
  </si>
  <si>
    <t>18-03-2004 00:00:00</t>
  </si>
  <si>
    <t>30385291</t>
  </si>
  <si>
    <t>ООО "ЖилКом-Сервис"</t>
  </si>
  <si>
    <t>1211004870</t>
  </si>
  <si>
    <t>121101001</t>
  </si>
  <si>
    <t>26433648</t>
  </si>
  <si>
    <t>ООО "Жилищный сервис"</t>
  </si>
  <si>
    <t>1206004441</t>
  </si>
  <si>
    <t>120601001</t>
  </si>
  <si>
    <t>08-12-2005 00:00:00</t>
  </si>
  <si>
    <t>27900079</t>
  </si>
  <si>
    <t>ООО "МТсК"</t>
  </si>
  <si>
    <t>1215165477</t>
  </si>
  <si>
    <t>19-07-2012 00:00:00</t>
  </si>
  <si>
    <t>26354151</t>
  </si>
  <si>
    <t>ООО "Марикоммунэнерго"</t>
  </si>
  <si>
    <t>1215126037</t>
  </si>
  <si>
    <t>09-11-2007 00:00:00</t>
  </si>
  <si>
    <t>26653859</t>
  </si>
  <si>
    <t>ООО "Моркинский ТеплоЭнергоСервис"</t>
  </si>
  <si>
    <t>1208007399</t>
  </si>
  <si>
    <t>28040479</t>
  </si>
  <si>
    <t>ООО "Ресурс"</t>
  </si>
  <si>
    <t>1207014851</t>
  </si>
  <si>
    <t>30811204</t>
  </si>
  <si>
    <t>ООО "Ресурс-1"</t>
  </si>
  <si>
    <t>1207021231</t>
  </si>
  <si>
    <t>26516262</t>
  </si>
  <si>
    <t>ООО "Сантехремонт"</t>
  </si>
  <si>
    <t>1209005281</t>
  </si>
  <si>
    <t>120901001</t>
  </si>
  <si>
    <t>02-02-2009 00:00:00</t>
  </si>
  <si>
    <t>26354145</t>
  </si>
  <si>
    <t>ООО "Стройтерм"</t>
  </si>
  <si>
    <t>1215065970</t>
  </si>
  <si>
    <t>31210441</t>
  </si>
  <si>
    <t>ООО "ТеплоЭнерго"</t>
  </si>
  <si>
    <t>1218001484</t>
  </si>
  <si>
    <t>121801001</t>
  </si>
  <si>
    <t>06-12-2017 00:00:00</t>
  </si>
  <si>
    <t>28465093</t>
  </si>
  <si>
    <t>ООО Домоуправление-11</t>
  </si>
  <si>
    <t>1215131654</t>
  </si>
  <si>
    <t>26653830</t>
  </si>
  <si>
    <t>ООО Завод СтройМатериалов "ВнешЭкономИнвест"</t>
  </si>
  <si>
    <t>1217005084</t>
  </si>
  <si>
    <t>121701001</t>
  </si>
  <si>
    <t>27261818</t>
  </si>
  <si>
    <t>ООО МУК "Жилкомсервис"</t>
  </si>
  <si>
    <t>1202004240</t>
  </si>
  <si>
    <t>30923106</t>
  </si>
  <si>
    <t>ООО НПФ "Энергетик"</t>
  </si>
  <si>
    <t>1215099986</t>
  </si>
  <si>
    <t>28-01-2005 00:00:00</t>
  </si>
  <si>
    <t>27264808</t>
  </si>
  <si>
    <t>ООО ПСО "Стройтепломонтаж"</t>
  </si>
  <si>
    <t>1207004388</t>
  </si>
  <si>
    <t>30436694</t>
  </si>
  <si>
    <t>ООО Хлебный дар</t>
  </si>
  <si>
    <t>1215130900</t>
  </si>
  <si>
    <t>31398008</t>
  </si>
  <si>
    <t>ООО фирма "Радан"</t>
  </si>
  <si>
    <t>1215006685</t>
  </si>
  <si>
    <t>28830489</t>
  </si>
  <si>
    <t>ПАО "Т плюс" Филиал « Марий Эл и Чувашии»</t>
  </si>
  <si>
    <t>6315376946</t>
  </si>
  <si>
    <t>213043001</t>
  </si>
  <si>
    <t>26354124</t>
  </si>
  <si>
    <t>ПК "Моркинская ПМК"</t>
  </si>
  <si>
    <t>1208001968</t>
  </si>
  <si>
    <t>21-09-2000 00:00:00</t>
  </si>
  <si>
    <t>26354127</t>
  </si>
  <si>
    <t>ПК "Советская ПМК"</t>
  </si>
  <si>
    <t>1213002702</t>
  </si>
  <si>
    <t>26354110</t>
  </si>
  <si>
    <t>Учреждение Санаторий "Кленовая гора"</t>
  </si>
  <si>
    <t>1201000450</t>
  </si>
  <si>
    <t>17-09-1999 00:00:00</t>
  </si>
  <si>
    <t>27568596</t>
  </si>
  <si>
    <t>ФБУ ИК-6 УФСИН России по РМЭ</t>
  </si>
  <si>
    <t>1215061478</t>
  </si>
  <si>
    <t>30903763</t>
  </si>
  <si>
    <t>ФГБУ "ЦЖКУ" МИНОБОРОНЫ РОССИИ</t>
  </si>
  <si>
    <t>7729314745</t>
  </si>
  <si>
    <t>770101001</t>
  </si>
  <si>
    <t>28426335</t>
  </si>
  <si>
    <t>ФГКУ "Авиационная база"</t>
  </si>
  <si>
    <t>1200001370</t>
  </si>
  <si>
    <t>26354107</t>
  </si>
  <si>
    <t>ФГКУ "Войсковая часть 95504"</t>
  </si>
  <si>
    <t>1200000715</t>
  </si>
  <si>
    <t>10-11-2002 00:00:00</t>
  </si>
  <si>
    <t>26419376</t>
  </si>
  <si>
    <t>ФКУ "База материально технического и военного снабжения УФСИН по Республике Марий Эл"</t>
  </si>
  <si>
    <t>1215079852</t>
  </si>
  <si>
    <t>07-02-2006 00:00:00</t>
  </si>
  <si>
    <t>31638247</t>
  </si>
  <si>
    <t>ФКУ "ИК-3 УФСИН России по Республике Марий Эл"</t>
  </si>
  <si>
    <t>1207000288</t>
  </si>
  <si>
    <t>11-06-1999 00:00:00</t>
  </si>
  <si>
    <t>31638522</t>
  </si>
  <si>
    <t>ФКУ "КП-7 УФСИН России по Республике Марий Эл"</t>
  </si>
  <si>
    <t>1215056037</t>
  </si>
  <si>
    <t>30-04-2021 00:00:00</t>
  </si>
  <si>
    <t>26373663</t>
  </si>
  <si>
    <t>Филиал ООО "Газпром трансгаз Нижний Новгород" - Волжское ЛПУМГ</t>
  </si>
  <si>
    <t>5260080007</t>
  </si>
  <si>
    <t>120102001</t>
  </si>
  <si>
    <t>30-06-1999 00:00:00</t>
  </si>
  <si>
    <t>30914574</t>
  </si>
  <si>
    <t>Филиал ФГБУ "ЦЖКУ" МИНОБОРОНЫ РОССИИ (по ЦВО)</t>
  </si>
  <si>
    <t>667043001</t>
  </si>
  <si>
    <t>28980669</t>
  </si>
  <si>
    <t>Публичное акционерное общество "Т Плюс", Красногорский район Московской области</t>
  </si>
  <si>
    <t>502401001</t>
  </si>
  <si>
    <t>08-07-2015 00:00:00</t>
  </si>
  <si>
    <t>26654196</t>
  </si>
  <si>
    <t>АО "Красногорский завод "Электродвигатель"</t>
  </si>
  <si>
    <t>1203003778</t>
  </si>
  <si>
    <t>120301001</t>
  </si>
  <si>
    <t>26370671</t>
  </si>
  <si>
    <t>Ассоциация водоснабженцев Параньгинского района  "Чистая вода"</t>
  </si>
  <si>
    <t>1211003644</t>
  </si>
  <si>
    <t>11-11-2005 00:00:00</t>
  </si>
  <si>
    <t>26811422</t>
  </si>
  <si>
    <t>ГБУ РМЭ "Кокшайский дом-интернат для престарелых и инвалидов"</t>
  </si>
  <si>
    <t>1215054946</t>
  </si>
  <si>
    <t>18-06-1997 00:00:00</t>
  </si>
  <si>
    <t>26580069</t>
  </si>
  <si>
    <t>ЗАО "Мари-Турексельхозхимия"</t>
  </si>
  <si>
    <t>1206000119</t>
  </si>
  <si>
    <t>05-07-1996 00:00:00</t>
  </si>
  <si>
    <t>26654233</t>
  </si>
  <si>
    <t>ЗАО "Ронгинское торфобрикетное предприятие"</t>
  </si>
  <si>
    <t>1213000046</t>
  </si>
  <si>
    <t>26654245</t>
  </si>
  <si>
    <t>ЗАО "Сердежское"</t>
  </si>
  <si>
    <t>1212003943</t>
  </si>
  <si>
    <t>121201001</t>
  </si>
  <si>
    <t>05-12-2003 00:00:00</t>
  </si>
  <si>
    <t>31310792</t>
  </si>
  <si>
    <t>МУП "АКВА-СЕРВИС"</t>
  </si>
  <si>
    <t>1225001083</t>
  </si>
  <si>
    <t>122501001</t>
  </si>
  <si>
    <t>21-03-2019 00:00:00</t>
  </si>
  <si>
    <t>31504096</t>
  </si>
  <si>
    <t>МУП "Водоканал Оршанка"</t>
  </si>
  <si>
    <t>1218003379</t>
  </si>
  <si>
    <t>08-04-2021 00:00:00</t>
  </si>
  <si>
    <t>26370649</t>
  </si>
  <si>
    <t>1201004448</t>
  </si>
  <si>
    <t>05-02-2006 00:00:00</t>
  </si>
  <si>
    <t>26370672</t>
  </si>
  <si>
    <t>1211003683</t>
  </si>
  <si>
    <t>26370678</t>
  </si>
  <si>
    <t>28-02-2008 00:00:00</t>
  </si>
  <si>
    <t>31193646</t>
  </si>
  <si>
    <t>1223000528</t>
  </si>
  <si>
    <t>30833974</t>
  </si>
  <si>
    <t>МУП "Водоканал" - Килемарский район</t>
  </si>
  <si>
    <t>1204003890</t>
  </si>
  <si>
    <t>28821368</t>
  </si>
  <si>
    <t>МУП "Водоканал" Мари - Турекского муниципального района</t>
  </si>
  <si>
    <t>1206005678</t>
  </si>
  <si>
    <t>31261760</t>
  </si>
  <si>
    <t>МУП "Водоканал" г.Звенигово""  МО "Городское поселение Звенигово"</t>
  </si>
  <si>
    <t>1225000918</t>
  </si>
  <si>
    <t>22-08-2018 00:00:00</t>
  </si>
  <si>
    <t>28058909</t>
  </si>
  <si>
    <t>МУП "Заря"</t>
  </si>
  <si>
    <t>1202008710</t>
  </si>
  <si>
    <t>27-07-2012 00:00:00</t>
  </si>
  <si>
    <t>26370669</t>
  </si>
  <si>
    <t>МУП "Новоторъяльский водоканал"</t>
  </si>
  <si>
    <t>1209004880</t>
  </si>
  <si>
    <t>30-10-2006 00:00:00</t>
  </si>
  <si>
    <t>28040294</t>
  </si>
  <si>
    <t>МУП "Родник"</t>
  </si>
  <si>
    <t>1202008759</t>
  </si>
  <si>
    <t>120201001</t>
  </si>
  <si>
    <t>10-10-2012 00:00:00</t>
  </si>
  <si>
    <t>26370673</t>
  </si>
  <si>
    <t>МУП "Сернурводоканал"</t>
  </si>
  <si>
    <t>1212003615</t>
  </si>
  <si>
    <t>16-07-2002 00:00:00</t>
  </si>
  <si>
    <t>26783310</t>
  </si>
  <si>
    <t>ОАО "Водоканал"</t>
  </si>
  <si>
    <t>1216020386</t>
  </si>
  <si>
    <t>31-12-2010 00:00:00</t>
  </si>
  <si>
    <t>26354121</t>
  </si>
  <si>
    <t>ОАО "Медведевский водоканал"</t>
  </si>
  <si>
    <t>1207011240</t>
  </si>
  <si>
    <t>12-01-2009 00:00:00</t>
  </si>
  <si>
    <t>31218553</t>
  </si>
  <si>
    <t>ООО ""МАРСЕЛЬХОЗАРТЕЛЬ"</t>
  </si>
  <si>
    <t>1206004145</t>
  </si>
  <si>
    <t>14-01-2003 00:00:00</t>
  </si>
  <si>
    <t>26811376</t>
  </si>
  <si>
    <t>ООО "Аспект"</t>
  </si>
  <si>
    <t>1203008416</t>
  </si>
  <si>
    <t>29649760</t>
  </si>
  <si>
    <t>ООО "Базис М"</t>
  </si>
  <si>
    <t>1215142864</t>
  </si>
  <si>
    <t>30991873</t>
  </si>
  <si>
    <t>ООО "ВКБ-ЭКО"</t>
  </si>
  <si>
    <t>1225000682</t>
  </si>
  <si>
    <t>21-04-2017 00:00:00</t>
  </si>
  <si>
    <t>27261804</t>
  </si>
  <si>
    <t>ООО "Водоканал-Китунькино"</t>
  </si>
  <si>
    <t>1201005804</t>
  </si>
  <si>
    <t>12-12-2010 00:00:00</t>
  </si>
  <si>
    <t>27260773</t>
  </si>
  <si>
    <t>ООО "Водоканал-Малое Иваново"</t>
  </si>
  <si>
    <t>1201005836</t>
  </si>
  <si>
    <t>13-12-2010 00:00:00</t>
  </si>
  <si>
    <t>27269965</t>
  </si>
  <si>
    <t>ООО "Еласовское водоснабжение"</t>
  </si>
  <si>
    <t>1202008237</t>
  </si>
  <si>
    <t>26550045</t>
  </si>
  <si>
    <t>ООО "Жилкомсервис"</t>
  </si>
  <si>
    <t>1208006980</t>
  </si>
  <si>
    <t>18-12-2009 00:00:00</t>
  </si>
  <si>
    <t>27592250</t>
  </si>
  <si>
    <t>ООО "Жилтехник"</t>
  </si>
  <si>
    <t>1204003629</t>
  </si>
  <si>
    <t>28159784</t>
  </si>
  <si>
    <t>ООО "Звениговский водоканал"</t>
  </si>
  <si>
    <t>1203009787</t>
  </si>
  <si>
    <t>28-05-2013 00:00:00</t>
  </si>
  <si>
    <t>25-10-2023 00:00:00</t>
  </si>
  <si>
    <t>28932339</t>
  </si>
  <si>
    <t>ООО "Колодец"</t>
  </si>
  <si>
    <t>1202008854</t>
  </si>
  <si>
    <t>28273271</t>
  </si>
  <si>
    <t>ООО "Крестьянское подворье-АГРО"</t>
  </si>
  <si>
    <t>1207010656</t>
  </si>
  <si>
    <t>08-05-2008 00:00:00</t>
  </si>
  <si>
    <t>31379031</t>
  </si>
  <si>
    <t>ООО "Кужмарские коммунальные сети"</t>
  </si>
  <si>
    <t>1225001100</t>
  </si>
  <si>
    <t>12-01-2020 00:00:00</t>
  </si>
  <si>
    <t>31723744</t>
  </si>
  <si>
    <t>ООО "Моркинская жилищная компания"</t>
  </si>
  <si>
    <t>1225000065</t>
  </si>
  <si>
    <t>05-02-2015 00:00:00</t>
  </si>
  <si>
    <t>28979974</t>
  </si>
  <si>
    <t>ООО "Озеркинский водоканал"</t>
  </si>
  <si>
    <t>1202008910</t>
  </si>
  <si>
    <t>27753491</t>
  </si>
  <si>
    <t>ООО "Пайгусовское водоснабжение"</t>
  </si>
  <si>
    <t>1202008364</t>
  </si>
  <si>
    <t>27753455</t>
  </si>
  <si>
    <t>ООО "Посейдон"</t>
  </si>
  <si>
    <t>1202008621</t>
  </si>
  <si>
    <t>100201001</t>
  </si>
  <si>
    <t>12-10-2011 00:00:00</t>
  </si>
  <si>
    <t>31193637</t>
  </si>
  <si>
    <t>ООО "Птицефабрика "Приволжская"</t>
  </si>
  <si>
    <t>1224003923</t>
  </si>
  <si>
    <t>122401001</t>
  </si>
  <si>
    <t>31668470</t>
  </si>
  <si>
    <t>ООО "Птицефабрика Горномарийская"</t>
  </si>
  <si>
    <t>1200009186</t>
  </si>
  <si>
    <t>120001001</t>
  </si>
  <si>
    <t>28-02-2023 00:00:00</t>
  </si>
  <si>
    <t>28965879</t>
  </si>
  <si>
    <t>ООО "Пятерочка"</t>
  </si>
  <si>
    <t>1203005817</t>
  </si>
  <si>
    <t>26796330</t>
  </si>
  <si>
    <t>ООО "Ремонтно-строительный участок"</t>
  </si>
  <si>
    <t>1207010960</t>
  </si>
  <si>
    <t>28821999</t>
  </si>
  <si>
    <t>ООО "СТР Профит"</t>
  </si>
  <si>
    <t>1209005274</t>
  </si>
  <si>
    <t>28820054</t>
  </si>
  <si>
    <t>ООО "Хлебниковское"</t>
  </si>
  <si>
    <t>1206004427</t>
  </si>
  <si>
    <t>26654254</t>
  </si>
  <si>
    <t>ООО "Холдинг Морки"</t>
  </si>
  <si>
    <t>1208006941</t>
  </si>
  <si>
    <t>09-12-2009 00:00:00</t>
  </si>
  <si>
    <t>26579773</t>
  </si>
  <si>
    <t>ООО "Чапаевское"</t>
  </si>
  <si>
    <t>1202006649</t>
  </si>
  <si>
    <t>25-02-2005 00:00:00</t>
  </si>
  <si>
    <t>26796653</t>
  </si>
  <si>
    <t>ООО "Шойбулакское"</t>
  </si>
  <si>
    <t>1207011321</t>
  </si>
  <si>
    <t>26654229</t>
  </si>
  <si>
    <t>ООО "Юринский водоканал"</t>
  </si>
  <si>
    <t>1214002328</t>
  </si>
  <si>
    <t>17-11-2023 00:00:00</t>
  </si>
  <si>
    <t>26579789</t>
  </si>
  <si>
    <t>ООО Агрофирма "Акпарс"</t>
  </si>
  <si>
    <t>1206004635</t>
  </si>
  <si>
    <t>30435063</t>
  </si>
  <si>
    <t>ООО Аква-МУС</t>
  </si>
  <si>
    <t>1203010260</t>
  </si>
  <si>
    <t>26427270</t>
  </si>
  <si>
    <t>ООО Медведевская управляющая компания "ЭксЖилФонд"</t>
  </si>
  <si>
    <t>1207009065</t>
  </si>
  <si>
    <t>09-10-2006 00:00:00</t>
  </si>
  <si>
    <t>27264863</t>
  </si>
  <si>
    <t>ООО РЭК "Жилкомсервис"</t>
  </si>
  <si>
    <t>1207008738</t>
  </si>
  <si>
    <t>26587397</t>
  </si>
  <si>
    <t>ПК "Емешевский"</t>
  </si>
  <si>
    <t>1202008100</t>
  </si>
  <si>
    <t>22-04-2010 00:00:00</t>
  </si>
  <si>
    <t>26540336</t>
  </si>
  <si>
    <t>ПК СХА (колхоз) "Искра"</t>
  </si>
  <si>
    <t>1205002674</t>
  </si>
  <si>
    <t>19-11-1998 00:00:00</t>
  </si>
  <si>
    <t>26436096</t>
  </si>
  <si>
    <t>ПО "Даниловское"</t>
  </si>
  <si>
    <t>1215027406</t>
  </si>
  <si>
    <t>02-03-2001 00:00:00</t>
  </si>
  <si>
    <t>27753467</t>
  </si>
  <si>
    <t>СПК "Волга"</t>
  </si>
  <si>
    <t>1202004722</t>
  </si>
  <si>
    <t>26581432</t>
  </si>
  <si>
    <t>СПК "Москва"</t>
  </si>
  <si>
    <t>1202000566</t>
  </si>
  <si>
    <t>13-12-1993 00:00:00</t>
  </si>
  <si>
    <t>26581393</t>
  </si>
  <si>
    <t>СПК птицефабрика "Горномарийская"</t>
  </si>
  <si>
    <t>1202001665</t>
  </si>
  <si>
    <t>04-11-2004 00:00:00</t>
  </si>
  <si>
    <t>26654224</t>
  </si>
  <si>
    <t>СХПК - СХА (колхоз) "Первое мая"</t>
  </si>
  <si>
    <t>1209000580</t>
  </si>
  <si>
    <t>30959518</t>
  </si>
  <si>
    <t>ФКУ "ИК-4 УФСИН по Республике Марий Эл"</t>
  </si>
  <si>
    <t>1207005342</t>
  </si>
  <si>
    <t>25-12-2002 00:00:00</t>
  </si>
  <si>
    <t>26358437</t>
  </si>
  <si>
    <t>Филиал ООО "Газпром трансгаз Нижний Новгород" - Моркинское ЛПУМГ</t>
  </si>
  <si>
    <t>120802001</t>
  </si>
  <si>
    <t>15-12-1999 00:00:00</t>
  </si>
  <si>
    <t>26434999</t>
  </si>
  <si>
    <t>ООО "ИнвестКомунСтрой"</t>
  </si>
  <si>
    <t>1213005245</t>
  </si>
  <si>
    <t>26796779</t>
  </si>
  <si>
    <t>ООО "Суслонгерское водо-канализационное хозяйство"</t>
  </si>
  <si>
    <t>1203008504</t>
  </si>
  <si>
    <t>30-11-2010 00:00:00</t>
  </si>
  <si>
    <t>26766592</t>
  </si>
  <si>
    <t>ООО "Управляющая организация"</t>
  </si>
  <si>
    <t>1217004725</t>
  </si>
  <si>
    <t>28978616</t>
  </si>
  <si>
    <t>ИП Алтыбаева С.А.</t>
  </si>
  <si>
    <t>772640599742</t>
  </si>
  <si>
    <t>28435773</t>
  </si>
  <si>
    <t>ИП Краснов В.А.</t>
  </si>
  <si>
    <t>120301782491</t>
  </si>
  <si>
    <t>28436509</t>
  </si>
  <si>
    <t>ИП Попов А.Н.</t>
  </si>
  <si>
    <t>121502603112</t>
  </si>
  <si>
    <t>16-10-2000 00:00:00</t>
  </si>
  <si>
    <t>26433551</t>
  </si>
  <si>
    <t>МУП "Новоторъяльский жилсервис"</t>
  </si>
  <si>
    <t>1209004873</t>
  </si>
  <si>
    <t>27573959</t>
  </si>
  <si>
    <t>ОАО "Комбинат благоустройства"</t>
  </si>
  <si>
    <t>1216020403</t>
  </si>
  <si>
    <t>26540490</t>
  </si>
  <si>
    <t>ООО "Благоустройство"</t>
  </si>
  <si>
    <t>1207010977</t>
  </si>
  <si>
    <t>28-10-2008 00:00:00</t>
  </si>
  <si>
    <t>30350805</t>
  </si>
  <si>
    <t>ООО "Куженерводоканал"</t>
  </si>
  <si>
    <t>1205004720</t>
  </si>
  <si>
    <t>31667349</t>
  </si>
  <si>
    <t>ООО "Мусоросортировочный комплекс-Йошкар-Ола"</t>
  </si>
  <si>
    <t>1200005720</t>
  </si>
  <si>
    <t>12-05-2022 00:00:00</t>
  </si>
  <si>
    <t>26435009</t>
  </si>
  <si>
    <t>ООО "СоветскКоммунКомплект"</t>
  </si>
  <si>
    <t>1213005238</t>
  </si>
  <si>
    <t>31699959</t>
  </si>
  <si>
    <t>ООО "Чистый город"</t>
  </si>
  <si>
    <t>1207008914</t>
  </si>
  <si>
    <t>31223016</t>
  </si>
  <si>
    <t>1217006948</t>
  </si>
  <si>
    <t>31667353</t>
  </si>
  <si>
    <t>ООО"Мусоросортировочный комплекс-Сернур"</t>
  </si>
  <si>
    <t>1200002208</t>
  </si>
  <si>
    <t>27-08-2021 00:00:00</t>
  </si>
  <si>
    <t>NSRF</t>
  </si>
  <si>
    <t>MR_NAME</t>
  </si>
  <si>
    <t>OKTMO_MR_NAME</t>
  </si>
  <si>
    <t>MO_NAME</t>
  </si>
  <si>
    <t>OKTMO_NAME</t>
  </si>
  <si>
    <t>TYPE</t>
  </si>
  <si>
    <t>MR_ID</t>
  </si>
  <si>
    <t>Волжский муниципальный район</t>
  </si>
  <si>
    <t>88604000</t>
  </si>
  <si>
    <t>Большепаратское сельское поселение</t>
  </si>
  <si>
    <t>88604405</t>
  </si>
  <si>
    <t>сельское поселение</t>
  </si>
  <si>
    <t>муниципальный район</t>
  </si>
  <si>
    <t>Карамасское сельское поселение</t>
  </si>
  <si>
    <t>88604418</t>
  </si>
  <si>
    <t>Обшиярское сельское поселение</t>
  </si>
  <si>
    <t>88604424</t>
  </si>
  <si>
    <t>Петъяльское сельское поселение</t>
  </si>
  <si>
    <t>88604435</t>
  </si>
  <si>
    <t>Помарское</t>
  </si>
  <si>
    <t>88604442</t>
  </si>
  <si>
    <t>Сотнурское сельское поселение</t>
  </si>
  <si>
    <t>88604447</t>
  </si>
  <si>
    <t>Эмековское</t>
  </si>
  <si>
    <t>88604469</t>
  </si>
  <si>
    <t>пгт. Приволжский</t>
  </si>
  <si>
    <t>88604159</t>
  </si>
  <si>
    <t>городское поселение, в состав которого входит поселок</t>
  </si>
  <si>
    <t>Горномарийский муниципальный район</t>
  </si>
  <si>
    <t>88608000</t>
  </si>
  <si>
    <t>Виловатовское сельское поселение</t>
  </si>
  <si>
    <t>88608420</t>
  </si>
  <si>
    <t>Еласовское сельское поселение</t>
  </si>
  <si>
    <t>88608425</t>
  </si>
  <si>
    <t>Емешевское сельское поселение</t>
  </si>
  <si>
    <t>88608430</t>
  </si>
  <si>
    <t>Красноволжское сельское поселение</t>
  </si>
  <si>
    <t>88608440</t>
  </si>
  <si>
    <t>Кузнецовское сельское поселение</t>
  </si>
  <si>
    <t>88608445</t>
  </si>
  <si>
    <t>Микряковское сельское поселение</t>
  </si>
  <si>
    <t>88608450</t>
  </si>
  <si>
    <t>Озеркинское сельское поселение</t>
  </si>
  <si>
    <t>88608435</t>
  </si>
  <si>
    <t>Пайгусовское сельское поселение</t>
  </si>
  <si>
    <t>88608455</t>
  </si>
  <si>
    <t>Троицко-Посадское</t>
  </si>
  <si>
    <t>88608465</t>
  </si>
  <si>
    <t>Усолинское сельское поселение</t>
  </si>
  <si>
    <t>88608470</t>
  </si>
  <si>
    <t>Звениговский муниципальный район</t>
  </si>
  <si>
    <t>88612000</t>
  </si>
  <si>
    <t>Исменецкое сельское поселение</t>
  </si>
  <si>
    <t>88612405</t>
  </si>
  <si>
    <t>Кокшайское сельское поселение</t>
  </si>
  <si>
    <t>88612450</t>
  </si>
  <si>
    <t>Кокшамарское сельское поселение</t>
  </si>
  <si>
    <t>88612420</t>
  </si>
  <si>
    <t>Красноярское сельское поселение</t>
  </si>
  <si>
    <t>88612425</t>
  </si>
  <si>
    <t>Кужмарское сельское поселение</t>
  </si>
  <si>
    <t>88612430</t>
  </si>
  <si>
    <t>Черноозерское</t>
  </si>
  <si>
    <t>88612440</t>
  </si>
  <si>
    <t>Шелангерское сельское поселение</t>
  </si>
  <si>
    <t>88612445</t>
  </si>
  <si>
    <t>г. Звенигово</t>
  </si>
  <si>
    <t>88612101</t>
  </si>
  <si>
    <t>городское поселение, в состав которого входит город</t>
  </si>
  <si>
    <t>пгт. Красногорский</t>
  </si>
  <si>
    <t>88612162</t>
  </si>
  <si>
    <t>пгт. Суслонгер</t>
  </si>
  <si>
    <t>88612184</t>
  </si>
  <si>
    <t>Килемарский муниципальный район</t>
  </si>
  <si>
    <t>88616000</t>
  </si>
  <si>
    <t>Ардинское</t>
  </si>
  <si>
    <t>88616403</t>
  </si>
  <si>
    <t>Большекибеевское</t>
  </si>
  <si>
    <t>88616411</t>
  </si>
  <si>
    <t>Визимьярское сельское поселение</t>
  </si>
  <si>
    <t>88616415</t>
  </si>
  <si>
    <t>Красномостовское</t>
  </si>
  <si>
    <t>88616435</t>
  </si>
  <si>
    <t>Кумьинское</t>
  </si>
  <si>
    <t>88616444</t>
  </si>
  <si>
    <t>Нежнурское</t>
  </si>
  <si>
    <t>88616466</t>
  </si>
  <si>
    <t>Широкундышское</t>
  </si>
  <si>
    <t>88616488</t>
  </si>
  <si>
    <t>Юксарское</t>
  </si>
  <si>
    <t>88616490</t>
  </si>
  <si>
    <t>пгт. Килемары</t>
  </si>
  <si>
    <t>88616151</t>
  </si>
  <si>
    <t>Куженерский муниципальный район</t>
  </si>
  <si>
    <t>88620000</t>
  </si>
  <si>
    <t>Иштымбальское</t>
  </si>
  <si>
    <t>88620420</t>
  </si>
  <si>
    <t>Русско-Шойское сельское поселение</t>
  </si>
  <si>
    <t>88620450</t>
  </si>
  <si>
    <t>Салтакъяльское</t>
  </si>
  <si>
    <t>88620460</t>
  </si>
  <si>
    <t>Токтайбелякское</t>
  </si>
  <si>
    <t>88620470</t>
  </si>
  <si>
    <t>Тумьюмучашское</t>
  </si>
  <si>
    <t>88620480</t>
  </si>
  <si>
    <t>Шорсолинское</t>
  </si>
  <si>
    <t>88620485</t>
  </si>
  <si>
    <t>Шудумарское</t>
  </si>
  <si>
    <t>88620440</t>
  </si>
  <si>
    <t>Юледурское сельское поселение</t>
  </si>
  <si>
    <t>88620490</t>
  </si>
  <si>
    <t>пгт. Куженер</t>
  </si>
  <si>
    <t>88620151</t>
  </si>
  <si>
    <t>Мари-Турекский муниципальный район</t>
  </si>
  <si>
    <t>88624000</t>
  </si>
  <si>
    <t>Карлыганское</t>
  </si>
  <si>
    <t>88624405</t>
  </si>
  <si>
    <t>Косолаповское сельское поселение</t>
  </si>
  <si>
    <t>88624410</t>
  </si>
  <si>
    <t>Мари-Биляморское</t>
  </si>
  <si>
    <t>88624420</t>
  </si>
  <si>
    <t>Марийское</t>
  </si>
  <si>
    <t>88624422</t>
  </si>
  <si>
    <t>Хлебниковское сельское поселение</t>
  </si>
  <si>
    <t>88624445</t>
  </si>
  <si>
    <t>пгт. Мари-Турек</t>
  </si>
  <si>
    <t>88624151</t>
  </si>
  <si>
    <t>Медведевский муниципальный район</t>
  </si>
  <si>
    <t>88628000</t>
  </si>
  <si>
    <t>Азановское</t>
  </si>
  <si>
    <t>88628405</t>
  </si>
  <si>
    <t>Азяковское</t>
  </si>
  <si>
    <t>88628407</t>
  </si>
  <si>
    <t>60</t>
  </si>
  <si>
    <t>Ежовское</t>
  </si>
  <si>
    <t>88628410</t>
  </si>
  <si>
    <t>61</t>
  </si>
  <si>
    <t>Знаменское</t>
  </si>
  <si>
    <t>88628412</t>
  </si>
  <si>
    <t>62</t>
  </si>
  <si>
    <t>88628418</t>
  </si>
  <si>
    <t>63</t>
  </si>
  <si>
    <t>Кундышское сельское поселение</t>
  </si>
  <si>
    <t>88628419</t>
  </si>
  <si>
    <t>64</t>
  </si>
  <si>
    <t>Куярское сельское поселение</t>
  </si>
  <si>
    <t>88628417</t>
  </si>
  <si>
    <t>65</t>
  </si>
  <si>
    <t>Люльпанское</t>
  </si>
  <si>
    <t>88628420</t>
  </si>
  <si>
    <t>67</t>
  </si>
  <si>
    <t>Нужъяльское</t>
  </si>
  <si>
    <t>88628428</t>
  </si>
  <si>
    <t>Нурминское</t>
  </si>
  <si>
    <t>88628430</t>
  </si>
  <si>
    <t>69</t>
  </si>
  <si>
    <t>Пекшиксолинское</t>
  </si>
  <si>
    <t>88628425</t>
  </si>
  <si>
    <t>70</t>
  </si>
  <si>
    <t>Пижменское</t>
  </si>
  <si>
    <t>88628435</t>
  </si>
  <si>
    <t>71</t>
  </si>
  <si>
    <t>Русско-Кукморское</t>
  </si>
  <si>
    <t>88628440</t>
  </si>
  <si>
    <t>72</t>
  </si>
  <si>
    <t>Руэмское сельское поселение</t>
  </si>
  <si>
    <t>88628442</t>
  </si>
  <si>
    <t>73</t>
  </si>
  <si>
    <t>Сенькинское сельское поселение</t>
  </si>
  <si>
    <t>88628448</t>
  </si>
  <si>
    <t>74</t>
  </si>
  <si>
    <t>Сидоровское сельское поселение</t>
  </si>
  <si>
    <t>88628450</t>
  </si>
  <si>
    <t>75</t>
  </si>
  <si>
    <t>Туршинское</t>
  </si>
  <si>
    <t>88628455</t>
  </si>
  <si>
    <t>76</t>
  </si>
  <si>
    <t>Шойбулакское сельское поселение</t>
  </si>
  <si>
    <t>88628470</t>
  </si>
  <si>
    <t>77</t>
  </si>
  <si>
    <t>Юбилейное</t>
  </si>
  <si>
    <t>88628480</t>
  </si>
  <si>
    <t>78</t>
  </si>
  <si>
    <t>пгт. Краснооктябрьский</t>
  </si>
  <si>
    <t>88628160</t>
  </si>
  <si>
    <t>79</t>
  </si>
  <si>
    <t>пгт. Медведево</t>
  </si>
  <si>
    <t>88628151</t>
  </si>
  <si>
    <t>80</t>
  </si>
  <si>
    <t>Моркинский муниципальный район</t>
  </si>
  <si>
    <t>88632000</t>
  </si>
  <si>
    <t>Зеленогорское</t>
  </si>
  <si>
    <t>88632415</t>
  </si>
  <si>
    <t>81</t>
  </si>
  <si>
    <t>Коркатовское</t>
  </si>
  <si>
    <t>88632425</t>
  </si>
  <si>
    <t>82</t>
  </si>
  <si>
    <t>Красностекловарское</t>
  </si>
  <si>
    <t>88632426</t>
  </si>
  <si>
    <t>83</t>
  </si>
  <si>
    <t>84</t>
  </si>
  <si>
    <t>Октябрьское сельское поселение</t>
  </si>
  <si>
    <t>88632445</t>
  </si>
  <si>
    <t>85</t>
  </si>
  <si>
    <t>Себеусадское</t>
  </si>
  <si>
    <t>88632455</t>
  </si>
  <si>
    <t>86</t>
  </si>
  <si>
    <t>Семисолинское сельское поселение</t>
  </si>
  <si>
    <t>88632460</t>
  </si>
  <si>
    <t>87</t>
  </si>
  <si>
    <t>Шалинское</t>
  </si>
  <si>
    <t>88632470</t>
  </si>
  <si>
    <t>88</t>
  </si>
  <si>
    <t>Шиньшинское</t>
  </si>
  <si>
    <t>88632475</t>
  </si>
  <si>
    <t>89</t>
  </si>
  <si>
    <t>Шоруньжинское сельское поселение</t>
  </si>
  <si>
    <t>88632480</t>
  </si>
  <si>
    <t>90</t>
  </si>
  <si>
    <t>пгт. Морки</t>
  </si>
  <si>
    <t>88632151</t>
  </si>
  <si>
    <t>91</t>
  </si>
  <si>
    <t>Новоторъяльский муниципальный район</t>
  </si>
  <si>
    <t>88636000</t>
  </si>
  <si>
    <t>Масканурское</t>
  </si>
  <si>
    <t>88636420</t>
  </si>
  <si>
    <t>92</t>
  </si>
  <si>
    <t>93</t>
  </si>
  <si>
    <t>Пектубаевское</t>
  </si>
  <si>
    <t>88636435</t>
  </si>
  <si>
    <t>94</t>
  </si>
  <si>
    <t>Староторъяльское</t>
  </si>
  <si>
    <t>88636440</t>
  </si>
  <si>
    <t>95</t>
  </si>
  <si>
    <t>Чуксолинское сельское поселение</t>
  </si>
  <si>
    <t>88636450</t>
  </si>
  <si>
    <t>96</t>
  </si>
  <si>
    <t>пгт. Новый Торъял</t>
  </si>
  <si>
    <t>88636151</t>
  </si>
  <si>
    <t>97</t>
  </si>
  <si>
    <t>Оршанский муниципальный район</t>
  </si>
  <si>
    <t>88640000</t>
  </si>
  <si>
    <t>Большеоршинское</t>
  </si>
  <si>
    <t>88640402</t>
  </si>
  <si>
    <t>98</t>
  </si>
  <si>
    <t>Великопольское</t>
  </si>
  <si>
    <t>88640405</t>
  </si>
  <si>
    <t>99</t>
  </si>
  <si>
    <t>Каракшинское</t>
  </si>
  <si>
    <t>88640410</t>
  </si>
  <si>
    <t>100</t>
  </si>
  <si>
    <t>Лужбелякское сельское поселение</t>
  </si>
  <si>
    <t>88640419</t>
  </si>
  <si>
    <t>101</t>
  </si>
  <si>
    <t>Марковское</t>
  </si>
  <si>
    <t>88640420</t>
  </si>
  <si>
    <t>102</t>
  </si>
  <si>
    <t>103</t>
  </si>
  <si>
    <t>Старокрещенское</t>
  </si>
  <si>
    <t>88640435</t>
  </si>
  <si>
    <t>104</t>
  </si>
  <si>
    <t>Табашинское</t>
  </si>
  <si>
    <t>88640440</t>
  </si>
  <si>
    <t>105</t>
  </si>
  <si>
    <t>Упшинское</t>
  </si>
  <si>
    <t>88640445</t>
  </si>
  <si>
    <t>106</t>
  </si>
  <si>
    <t>Чирковское</t>
  </si>
  <si>
    <t>88640448</t>
  </si>
  <si>
    <t>107</t>
  </si>
  <si>
    <t>Шулкинское</t>
  </si>
  <si>
    <t>88640450</t>
  </si>
  <si>
    <t>108</t>
  </si>
  <si>
    <t>пгт. Оршанка</t>
  </si>
  <si>
    <t>88640151</t>
  </si>
  <si>
    <t>109</t>
  </si>
  <si>
    <t>Параньгинский муниципальный район</t>
  </si>
  <si>
    <t>88644000</t>
  </si>
  <si>
    <t>Алашайское</t>
  </si>
  <si>
    <t>88644411</t>
  </si>
  <si>
    <t>110</t>
  </si>
  <si>
    <t>Елеевское</t>
  </si>
  <si>
    <t>88644422</t>
  </si>
  <si>
    <t>111</t>
  </si>
  <si>
    <t>Илетское</t>
  </si>
  <si>
    <t>88644433</t>
  </si>
  <si>
    <t>112</t>
  </si>
  <si>
    <t>Ильпанурское</t>
  </si>
  <si>
    <t>88644444</t>
  </si>
  <si>
    <t>113</t>
  </si>
  <si>
    <t>Куракинское</t>
  </si>
  <si>
    <t>88644455</t>
  </si>
  <si>
    <t>114</t>
  </si>
  <si>
    <t>115</t>
  </si>
  <si>
    <t>Портянурское</t>
  </si>
  <si>
    <t>88644477</t>
  </si>
  <si>
    <t>116</t>
  </si>
  <si>
    <t>Русско-Ляжмаринское</t>
  </si>
  <si>
    <t>88644480</t>
  </si>
  <si>
    <t>117</t>
  </si>
  <si>
    <t>Усолинское</t>
  </si>
  <si>
    <t>88644488</t>
  </si>
  <si>
    <t>118</t>
  </si>
  <si>
    <t>пгт. Параньга</t>
  </si>
  <si>
    <t>88644151</t>
  </si>
  <si>
    <t>119</t>
  </si>
  <si>
    <t>Сернурский муниципальный район</t>
  </si>
  <si>
    <t>88648000</t>
  </si>
  <si>
    <t>Верхнекугенерское</t>
  </si>
  <si>
    <t>88648455</t>
  </si>
  <si>
    <t>120</t>
  </si>
  <si>
    <t>Дубниковское</t>
  </si>
  <si>
    <t>88648415</t>
  </si>
  <si>
    <t>121</t>
  </si>
  <si>
    <t>Зашижемское</t>
  </si>
  <si>
    <t>88648420</t>
  </si>
  <si>
    <t>122</t>
  </si>
  <si>
    <t>Казанское сельское поселение</t>
  </si>
  <si>
    <t>88648425</t>
  </si>
  <si>
    <t>123</t>
  </si>
  <si>
    <t>Кукнурское сельское поселение</t>
  </si>
  <si>
    <t>88648435</t>
  </si>
  <si>
    <t>124</t>
  </si>
  <si>
    <t>Марисолинское</t>
  </si>
  <si>
    <t>88648445</t>
  </si>
  <si>
    <t>125</t>
  </si>
  <si>
    <t>Сердежское сельское поселение</t>
  </si>
  <si>
    <t>88648468</t>
  </si>
  <si>
    <t>126</t>
  </si>
  <si>
    <t>127</t>
  </si>
  <si>
    <t>Чендемеровское</t>
  </si>
  <si>
    <t>88648475</t>
  </si>
  <si>
    <t>128</t>
  </si>
  <si>
    <t>пгт. Сернур</t>
  </si>
  <si>
    <t>88648151</t>
  </si>
  <si>
    <t>129</t>
  </si>
  <si>
    <t>Советский муниципальный район</t>
  </si>
  <si>
    <t>88652000</t>
  </si>
  <si>
    <t>Алексеевское</t>
  </si>
  <si>
    <t>88652410</t>
  </si>
  <si>
    <t>130</t>
  </si>
  <si>
    <t>Верх-Ушнурское</t>
  </si>
  <si>
    <t>88652420</t>
  </si>
  <si>
    <t>131</t>
  </si>
  <si>
    <t>Вятское</t>
  </si>
  <si>
    <t>88652430</t>
  </si>
  <si>
    <t>132</t>
  </si>
  <si>
    <t>Кужмаринское</t>
  </si>
  <si>
    <t>88652447</t>
  </si>
  <si>
    <t>133</t>
  </si>
  <si>
    <t>Михайловское сельское поселение</t>
  </si>
  <si>
    <t>88652470</t>
  </si>
  <si>
    <t>134</t>
  </si>
  <si>
    <t>Ронгинское сельское поселение</t>
  </si>
  <si>
    <t>88652490</t>
  </si>
  <si>
    <t>135</t>
  </si>
  <si>
    <t>136</t>
  </si>
  <si>
    <t>Солнечное сельское поселение</t>
  </si>
  <si>
    <t>88652492</t>
  </si>
  <si>
    <t>137</t>
  </si>
  <si>
    <t>пгт. Советский</t>
  </si>
  <si>
    <t>88652151</t>
  </si>
  <si>
    <t>138</t>
  </si>
  <si>
    <t>Юринский муниципальный район</t>
  </si>
  <si>
    <t>88656000</t>
  </si>
  <si>
    <t>Быковское</t>
  </si>
  <si>
    <t>88656474</t>
  </si>
  <si>
    <t>139</t>
  </si>
  <si>
    <t>Васильевское</t>
  </si>
  <si>
    <t>88656411</t>
  </si>
  <si>
    <t>140</t>
  </si>
  <si>
    <t>Горношумецкое</t>
  </si>
  <si>
    <t>88656455</t>
  </si>
  <si>
    <t>141</t>
  </si>
  <si>
    <t>Козиковское</t>
  </si>
  <si>
    <t>88656422</t>
  </si>
  <si>
    <t>142</t>
  </si>
  <si>
    <t>Марьинское</t>
  </si>
  <si>
    <t>88656466</t>
  </si>
  <si>
    <t>143</t>
  </si>
  <si>
    <t>144</t>
  </si>
  <si>
    <t>Юркинское</t>
  </si>
  <si>
    <t>88656477</t>
  </si>
  <si>
    <t>145</t>
  </si>
  <si>
    <t>пгт. Юрино</t>
  </si>
  <si>
    <t>88656151</t>
  </si>
  <si>
    <t>146</t>
  </si>
  <si>
    <t>г. Волжск</t>
  </si>
  <si>
    <t>88705000</t>
  </si>
  <si>
    <t>городской округ</t>
  </si>
  <si>
    <t>147</t>
  </si>
  <si>
    <t>г. Козьмодемьянск</t>
  </si>
  <si>
    <t>88715000</t>
  </si>
  <si>
    <t>149</t>
  </si>
  <si>
    <t>NUMBER_POINT</t>
  </si>
  <si>
    <t>L_NAME</t>
  </si>
  <si>
    <t>L_START_DATE</t>
  </si>
  <si>
    <t>L_END_DATE</t>
  </si>
  <si>
    <t>Инвестиционная программа № 260 от 30.10.2020 ОАО "Медведевский водоканал" в сфере водоснабжения и водоотведения по развитию систем водоснабжения и водоотведения, на территории муниципального района Медведевский на 2021-2025 годы</t>
  </si>
  <si>
    <t>01.01.2021</t>
  </si>
  <si>
    <t>31.12.2025</t>
  </si>
  <si>
    <t>Инвестиционная программа ООО "ВКБ-ЭКО" по реконструкции, модернизации и развитию систем холодного водоснабжения и водоотведения городского поселения Красногорский на 2018-2022 годы</t>
  </si>
  <si>
    <t>01.01.2018</t>
  </si>
  <si>
    <t>31.12.2022</t>
  </si>
  <si>
    <t>Инвестиционная программа от 19.11.2020 ООО "Кужмарские коммунальные сети"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муниципального района Звениговский на 2021-2023 годы</t>
  </si>
  <si>
    <t>31.12.2023</t>
  </si>
  <si>
    <t>Инвестиционная программа от 25.07.2019 МУП "Водоканал" в сфере водоснабжения и водоотведения по комплексному развитию централизованных систем водоснабжения, водоотведения, очистки сточных вод, на территории городского округа г. Йошкар-Ола на 2020-2024 годы</t>
  </si>
  <si>
    <t>01.01.2020</t>
  </si>
  <si>
    <t>31.12.2024</t>
  </si>
  <si>
    <t>Инвестиционная программа от 25.07.2019 МУП "Водоканал" в сфере водоснабжения и водоотведения по комплексному развитию централизованных систем холодного водоснабжения и водоотведения, на территории городского округа г. Йошкар-Ола на 2020-2024 годы</t>
  </si>
  <si>
    <t>Инвестиционная программа от 26.10.2018 ОАО "Водоканал" в сфере водоснабжения и водоотведения по модернизации и реконструкции систем коммунального водоснабжения и водоотведения, на территории городского округа г. Волжск на 2019-2023 годы</t>
  </si>
  <si>
    <t>01.01.2019</t>
  </si>
  <si>
    <t>Инвестиционная программа от 30.10.2020 ООО "Пятерочка"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муниципального района Звениговский на 2021-2024 годы</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</si>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</sst>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9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4" fontId="19" fillId="34" borderId="12" xfId="0" applyFont="1" applyFill="1" applyBorder="1" applyNumberFormat="1">
      <alignment horizontal="center" vertical="center" wrapText="1"/>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 fontId="19" fillId="38" borderId="12" xfId="0" applyFont="1" applyFill="1" applyBorder="1" applyNumberFormat="1">
      <alignment horizontal="left" vertical="center" wrapText="1" indent="1"/>
      <protection locked="0"/>
    </xf>
    <xf numFmtId="0" fontId="24" fillId="0" borderId="0" xfId="0" applyFont="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0" borderId="37" xfId="0" applyFont="1" applyBorder="1" applyNumberFormat="1">
      <alignment horizontal="center" vertical="center" wrapText="1"/>
    </xf>
    <xf numFmtId="4" fontId="19" fillId="34" borderId="12" xfId="0" applyFont="1" applyFill="1" applyBorder="1" applyNumberFormat="1">
      <alignment horizontal="center" vertical="center" wrapText="1"/>
    </xf>
    <xf numFmtId="49" fontId="19" fillId="39" borderId="20" xfId="0" applyFont="1" applyFill="1" applyBorder="1" applyNumberFormat="1">
      <alignment horizontal="center" vertical="center" wrapText="1"/>
    </xf>
    <xf numFmtId="0" fontId="19" fillId="0" borderId="12" xfId="0" applyFont="1" applyBorder="1" applyNumberFormat="1">
      <alignment horizontal="left" vertical="center" wrapText="1" indent="4"/>
    </xf>
    <xf numFmtId="49" fontId="19" fillId="38" borderId="12" xfId="0" applyFont="1" applyFill="1" applyBorder="1" applyNumberFormat="1">
      <alignment horizontal="left" vertical="center" wrapText="1" indent="1"/>
      <protection locked="0"/>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xf>
    <xf numFmtId="0" fontId="19" fillId="34" borderId="36" xfId="0" applyFont="1" applyFill="1" applyBorder="1" applyNumberFormat="1">
      <alignment horizontal="left" vertical="center" wrapText="1"/>
    </xf>
    <xf numFmtId="49" fontId="19" fillId="35"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0" borderId="30" xfId="0" applyFont="1" applyBorder="1" applyNumberFormat="1">
      <alignment horizontal="center" vertical="center" wrapText="1"/>
    </xf>
    <xf numFmtId="49" fontId="19" fillId="39" borderId="29" xfId="0" applyFont="1" applyFill="1" applyBorder="1" applyNumberFormat="1">
      <alignment horizontal="center"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mari-el.gov.ru/ministries/mecon/tarif/pages/resheniya-ob-ustanovlenii-tarifov-vodosnabzhenie-vodootvedenie-utilizatsiya-tbo/#clos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vod12.ru/abonents/tarify-i-normy-2024.php" TargetMode="External"/><Relationship Id="rId3" Type="http://schemas.openxmlformats.org/officeDocument/2006/relationships/hyperlink" Target="https://portal.eias.ru/Portal/DownloadPage.aspx?type=12&amp;guid=1c3ac443-2539-46ba-93b3-f85ff452ceac" TargetMode="External"/><Relationship Id="rId4" Type="http://schemas.openxmlformats.org/officeDocument/2006/relationships/hyperlink" Target="https://portal.eias.ru/Portal/DownloadPage.aspx?type=12&amp;guid=5d4b32e0-8144-4528-84e7-3fb151f3f098" TargetMode="External"/><Relationship Id="rId5" Type="http://schemas.openxmlformats.org/officeDocument/2006/relationships/hyperlink" Target="https://portal.eias.ru/Portal/DownloadPage.aspx?type=12&amp;guid=5d4b32e0-8144-4528-84e7-3fb151f3f09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2F211-108B-978F-45AC-17A4BA53E2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E2D13D-8389-60D4-8A8E-6BC379F46293}" mc:Ignorable="x14ac xr xr2 xr3">
  <sheetPr>
    <tabColor rgb="FFCCCCFF"/>
  </sheetPr>
  <dimension ref="A1:P78"/>
  <sheetViews>
    <sheetView topLeftCell="A1" showGridLines="0" zoomScale="90" workbookViewId="0">
      <selection activeCell="F70" sqref="F70"/>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45292.506377314814</v>
      </c>
      <c r="G11" s="62"/>
      <c r="H11" s="779" t="s">
        <v>18</v>
      </c>
      <c r="J11" s="882" t="s">
        <v>19</v>
      </c>
    </row>
    <row customHeight="1" ht="22.5">
      <c r="A12" s="1952"/>
      <c r="D12" s="60"/>
      <c r="E12" s="1173" t="s">
        <v>20</v>
      </c>
      <c r="F12" s="2549">
        <v>45657.50649305555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45275.50763888889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60</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62</v>
      </c>
      <c r="F53" s="1055" t="s">
        <v>55</v>
      </c>
      <c r="G53" s="538"/>
      <c r="I53" s="540"/>
      <c r="J53" s="884"/>
      <c r="P53" s="541"/>
    </row>
    <row s="2585"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65</v>
      </c>
      <c r="F58" s="1055" t="s">
        <v>60</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7C5BB69-3FC3-AF4A-B1E9-94688279804E}"/>
    <hyperlink ref="H17" location="Титульный!H9" display="Как заполнить?" tooltip="Помощь по работе с полями отчётной формы" xr:uid="{A4FC5162-5EA7-5B88-BB81-0430E8DA4D65}"/>
    <hyperlink ref="F24" r:id="rId4" xr:uid="{E6636CF4-CF29-9F18-4CD5-98A7345FE53B}"/>
    <hyperlink ref="H39" location="Титульный!H9" display="Как заполнить?" tooltip="Помощь по работе с полями отчётной формы" xr:uid="{06DEE98B-7A88-9519-F5F9-9C1650B5D287}"/>
    <hyperlink ref="H62" location="Титульный!H9" display="Как заполнить?" tooltip="Помощь по работе с полями отчётной формы" xr:uid="{B309D9CA-8A82-B1F8-1186-8021B297575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3F0AE-4CFA-8B7C-4C7C-8457B6ED1E7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 Йошкар-Ола(88701000)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43F9F-0EDE-1A0C-CCE3-8A620B94CF0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698" customFormat="1" customHeight="1" ht="15">
      <c r="A5" s="591"/>
      <c r="B5" s="591"/>
      <c r="C5" s="591"/>
      <c r="D5" s="1966" t="str">
        <f>IF(org=0,"Не определено",org)</f>
        <v>МУП "Водоканал"</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83EA5-B18E-BE86-84DE-991469D663F9}" mc:Ignorable="x14ac xr xr2 xr3">
  <sheetPr>
    <tabColor rgb="FFCCCCFF"/>
  </sheetPr>
  <dimension ref="A1:AR130"/>
  <sheetViews>
    <sheetView topLeftCell="A1" showGridLines="0" zoomScale="90" workbookViewId="0">
      <selection activeCell="O116" sqref="O116:O118"/>
    </sheetView>
  </sheetViews>
  <sheetFormatPr defaultColWidth="9.140625" customHeight="1" defaultRowHeight="11.25"/>
  <cols>
    <col min="1" max="2" style="2966" width="3.7109375" hidden="1" customWidth="1"/>
    <col min="3" max="3" style="2967" width="3.7109375" customWidth="1"/>
    <col min="4" max="4" style="2967" width="6.140625" customWidth="1"/>
    <col min="5" max="5" style="2967" width="43.140625" customWidth="1"/>
    <col min="6" max="6" style="2853" width="15.00390625" customWidth="1"/>
    <col min="7" max="7" style="2967" width="43.140625" customWidth="1"/>
    <col min="8" max="8" style="2967" width="3.7109375" customWidth="1"/>
    <col min="9" max="9" style="2967" width="5.421875" customWidth="1"/>
    <col min="10" max="10" style="2967" width="47.8515625" customWidth="1"/>
    <col min="11" max="12" style="2967" width="3.7109375" customWidth="1"/>
    <col min="13" max="13" style="2967" width="5.7109375" customWidth="1"/>
    <col min="14" max="14" style="2967" width="28.140625" customWidth="1"/>
    <col min="15" max="16" style="2967" width="3.7109375" customWidth="1"/>
    <col min="17" max="17" style="2967" width="5.7109375" customWidth="1"/>
    <col min="18" max="18" style="2967" width="34.421875" customWidth="1"/>
    <col min="19" max="20" style="2968" width="3.7109375" hidden="1" customWidth="1"/>
    <col min="21" max="21" style="2968" width="5.7109375" hidden="1" customWidth="1"/>
    <col min="22" max="22" style="2968" width="34.421875" hidden="1" customWidth="1"/>
    <col min="23" max="23" style="2967" width="30.7109375" customWidth="1"/>
    <col min="24" max="24" style="2967"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67"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МУП "Водоканал"</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hidden="1">
      <c r="A64" s="314"/>
      <c r="C64" s="195"/>
      <c r="D64" s="1991">
        <v>1</v>
      </c>
      <c r="E64" s="1993" t="s">
        <v>208</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209</v>
      </c>
      <c r="AD64" s="1296" t="s">
        <v>210</v>
      </c>
      <c r="AE64" s="1296" t="s">
        <v>211</v>
      </c>
      <c r="AF64" s="1296" t="s">
        <v>212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3"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3"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hidden="1">
      <c r="A69" s="314"/>
      <c r="C69" s="195"/>
      <c r="D69" s="1991">
        <v>2</v>
      </c>
      <c r="E69" s="1993" t="s">
        <v>213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214</v>
      </c>
      <c r="AD69" s="1296" t="s">
        <v>215</v>
      </c>
      <c r="AE69" s="1296" t="s">
        <v>216</v>
      </c>
      <c r="AF69" s="1296" t="s">
        <v>217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hidden="1">
      <c r="A74" s="314"/>
      <c r="C74" s="195"/>
      <c r="D74" s="1991">
        <v>3</v>
      </c>
      <c r="E74" s="1993" t="s">
        <v>218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219</v>
      </c>
      <c r="AD74" s="1296" t="s">
        <v>220</v>
      </c>
      <c r="AE74" s="1296" t="s">
        <v>221</v>
      </c>
      <c r="AF74" s="1296" t="s">
        <v>222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hidden="1">
      <c r="A79" s="314"/>
      <c r="C79" s="195"/>
      <c r="D79" s="1991">
        <v>4</v>
      </c>
      <c r="E79" s="1993" t="s">
        <v>223</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224</v>
      </c>
      <c r="AD79" s="1296" t="s">
        <v>225</v>
      </c>
      <c r="AE79" s="1296" t="s">
        <v>226</v>
      </c>
      <c r="AF79" s="1296" t="s">
        <v>227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hidden="1">
      <c r="A84" s="314"/>
      <c r="C84" s="195"/>
      <c r="D84" s="1991">
        <v>5</v>
      </c>
      <c r="E84" s="1993" t="s">
        <v>228</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229</v>
      </c>
      <c r="AD84" s="1296" t="s">
        <v>230</v>
      </c>
      <c r="AE84" s="1296" t="s">
        <v>231</v>
      </c>
      <c r="AF84" s="1296" t="s">
        <v>232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77"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77" customFormat="1" customHeight="1" ht="17.25" hidden="1">
      <c r="A90" s="314"/>
      <c r="C90" s="195"/>
      <c r="D90" s="1991">
        <v>1</v>
      </c>
      <c r="E90" s="1993" t="s">
        <v>233</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234</v>
      </c>
      <c r="AD90" s="1296" t="s">
        <v>235</v>
      </c>
      <c r="AE90" s="1296" t="s">
        <v>236</v>
      </c>
      <c r="AF90" s="1296" t="s">
        <v>237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77"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77"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77"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77"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77" customFormat="1" customHeight="1" ht="17.25" hidden="1">
      <c r="A95" s="314"/>
      <c r="C95" s="195"/>
      <c r="D95" s="1991">
        <v>2</v>
      </c>
      <c r="E95" s="1993" t="s">
        <v>238</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239</v>
      </c>
      <c r="AD95" s="1296" t="s">
        <v>240</v>
      </c>
      <c r="AE95" s="1296" t="s">
        <v>241</v>
      </c>
      <c r="AF95" s="1296" t="s">
        <v>242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77"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77"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77"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77"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77" customFormat="1" customHeight="1" ht="17.25" hidden="1">
      <c r="A100" s="314"/>
      <c r="C100" s="195"/>
      <c r="D100" s="1991">
        <v>3</v>
      </c>
      <c r="E100" s="1993" t="s">
        <v>243</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244</v>
      </c>
      <c r="AD100" s="1296" t="s">
        <v>245</v>
      </c>
      <c r="AE100" s="1296" t="s">
        <v>246</v>
      </c>
      <c r="AF100" s="1296" t="s">
        <v>247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77"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77"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77"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77"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77"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77" customFormat="1" customHeight="1" ht="17.25">
      <c r="A106" s="314"/>
      <c r="C106" s="195"/>
      <c r="D106" s="1991">
        <v>1</v>
      </c>
      <c r="E106" s="1993" t="s">
        <v>248</v>
      </c>
      <c r="F106" s="1995" t="s">
        <v>60</v>
      </c>
      <c r="G106" s="2878" t="str">
        <f>INDEX(VOTV_PT_VED_NAME,MATCH(4189714,VOTV_PT_VED_ID,0))</f>
        <v>Водоотведение</v>
      </c>
      <c r="H106" s="2879"/>
      <c r="I106" s="2879">
        <v>1</v>
      </c>
      <c r="J106" s="2880" t="s">
        <v>248</v>
      </c>
      <c r="K106" s="2881" t="s">
        <v>55</v>
      </c>
      <c r="L106" s="2882"/>
      <c r="M106" s="2882" t="s">
        <v>107</v>
      </c>
      <c r="N106" s="2883" t="s">
        <v>24</v>
      </c>
      <c r="O106" s="2881" t="s">
        <v>55</v>
      </c>
      <c r="P106" s="2882"/>
      <c r="Q106" s="2882" t="s">
        <v>107</v>
      </c>
      <c r="R106" s="2884" t="s">
        <v>24</v>
      </c>
      <c r="S106" s="2885" t="s">
        <v>55</v>
      </c>
      <c r="T106" s="2885"/>
      <c r="U106" s="2885" t="s">
        <v>107</v>
      </c>
      <c r="V106" s="2886"/>
      <c r="W106" s="2880"/>
      <c r="Y106" s="1296"/>
      <c r="Z106" s="1296"/>
      <c r="AA106" s="1296"/>
      <c r="AB106" s="1296" t="s">
        <v>249</v>
      </c>
      <c r="AC106" s="1296" t="s">
        <v>250</v>
      </c>
      <c r="AD106" s="1296" t="s">
        <v>251</v>
      </c>
      <c r="AE106" s="1296" t="s">
        <v>252</v>
      </c>
      <c r="AF106" s="1296" t="s">
        <v>253</v>
      </c>
      <c r="AG106" s="1296"/>
      <c r="AH106" s="1296" t="str">
        <f>IF($E$106=0,"",$E$106)</f>
        <v>Тариф на водоотведение</v>
      </c>
      <c r="AI106" s="1296" t="str">
        <f>IF($G$106=0,"",$G$106)</f>
        <v>Водоотведение</v>
      </c>
      <c r="AJ106" s="1296" t="str">
        <f>IF($J$106=0,"",$J$106)</f>
        <v>Тариф на водоотведение</v>
      </c>
      <c r="AK106" s="1296" t="str">
        <f>IF($K$106="нет","без дифференциации",IF($N$106=0,"",$N$106))</f>
        <v>без дифференциации</v>
      </c>
      <c r="AL106" s="1296" t="str">
        <f>IF($O$106="нет","без дифференциации",IF($R$106=0,"",$R$106))</f>
        <v>без дифференциации</v>
      </c>
      <c r="AM106" s="1296" t="str">
        <f>IF($S$106="нет","без дифференциации",IF($V$106=0,"",$V$106))</f>
        <v>без дифференциации</v>
      </c>
      <c r="AN106" s="1296">
        <f>$I$106</f>
        <v>1</v>
      </c>
      <c r="AO106" s="1296" t="str">
        <f>$I$106&amp;"."&amp;$M$106</f>
        <v>1.1</v>
      </c>
      <c r="AP106" s="1296" t="str">
        <f>$I$106&amp;"."&amp;$M$106&amp;"."&amp;$Q$106</f>
        <v>1.1.1</v>
      </c>
      <c r="AQ106" s="1296" t="str">
        <f>$I$106&amp;"."&amp;$M$106&amp;"."&amp;$Q$106&amp;"."&amp;$U$106</f>
        <v>1.1.1.1</v>
      </c>
    </row>
    <row s="2877" customFormat="1" customHeight="1" ht="17.25">
      <c r="A107" s="314"/>
      <c r="C107" s="313"/>
      <c r="D107" s="1991"/>
      <c r="E107" s="1993"/>
      <c r="F107" s="1996"/>
      <c r="G107" s="2878"/>
      <c r="H107" s="2879"/>
      <c r="I107" s="2879"/>
      <c r="J107" s="2880"/>
      <c r="K107" s="2887"/>
      <c r="L107" s="2882"/>
      <c r="M107" s="2882"/>
      <c r="N107" s="2883" t="s">
        <v>24</v>
      </c>
      <c r="O107" s="2887"/>
      <c r="P107" s="2882"/>
      <c r="Q107" s="2882"/>
      <c r="R107" s="2884" t="s">
        <v>24</v>
      </c>
      <c r="S107" s="2885"/>
      <c r="T107" s="2888"/>
      <c r="U107" s="2889"/>
      <c r="V107" s="2889"/>
      <c r="W107" s="2880"/>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77" customFormat="1" customHeight="1" ht="17.25">
      <c r="A108" s="314"/>
      <c r="C108" s="195"/>
      <c r="D108" s="1991"/>
      <c r="E108" s="1993"/>
      <c r="F108" s="1996"/>
      <c r="G108" s="2878"/>
      <c r="H108" s="2890"/>
      <c r="I108" s="2890"/>
      <c r="J108" s="2891"/>
      <c r="K108" s="2887"/>
      <c r="L108" s="2890"/>
      <c r="M108" s="2890"/>
      <c r="N108" s="2884" t="s">
        <v>24</v>
      </c>
      <c r="O108" s="2892"/>
      <c r="P108" s="2893"/>
      <c r="Q108" s="2894"/>
      <c r="R108" s="2895" t="s">
        <v>254</v>
      </c>
      <c r="S108" s="2896"/>
      <c r="T108" s="2897"/>
      <c r="U108" s="2898"/>
      <c r="V108" s="2899"/>
      <c r="W108" s="2900"/>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77" customFormat="1" customHeight="1" ht="17.25">
      <c r="A109" s="314"/>
      <c r="C109" s="313"/>
      <c r="D109" s="1991"/>
      <c r="E109" s="1993"/>
      <c r="F109" s="1996"/>
      <c r="G109" s="2878"/>
      <c r="H109" s="2890"/>
      <c r="I109" s="2890"/>
      <c r="J109" s="2891"/>
      <c r="K109" s="2892"/>
      <c r="L109" s="2901"/>
      <c r="M109" s="2902"/>
      <c r="N109" s="2903" t="s">
        <v>255</v>
      </c>
      <c r="O109" s="2904"/>
      <c r="P109" s="2905"/>
      <c r="Q109" s="2906"/>
      <c r="R109" s="2907"/>
      <c r="S109" s="2908"/>
      <c r="T109" s="2909"/>
      <c r="U109" s="2910"/>
      <c r="V109" s="2911"/>
      <c r="W109" s="2912"/>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77" customFormat="1" customHeight="1" ht="17.25">
      <c r="A110" s="314"/>
      <c r="C110" s="313"/>
      <c r="D110" s="1992"/>
      <c r="E110" s="1994"/>
      <c r="F110" s="1997"/>
      <c r="G110" s="2913"/>
      <c r="H110" s="2914"/>
      <c r="I110" s="2915"/>
      <c r="J110" s="2916" t="s">
        <v>256</v>
      </c>
      <c r="K110" s="2917"/>
      <c r="L110" s="2918"/>
      <c r="M110" s="2919"/>
      <c r="N110" s="2920"/>
      <c r="O110" s="2921"/>
      <c r="P110" s="2922"/>
      <c r="Q110" s="2923"/>
      <c r="R110" s="2924"/>
      <c r="S110" s="2925"/>
      <c r="T110" s="2926"/>
      <c r="U110" s="2927"/>
      <c r="V110" s="2928"/>
      <c r="W110" s="2929"/>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877" customFormat="1" customHeight="1" ht="17.25">
      <c r="A111" s="314"/>
      <c r="C111" s="195"/>
      <c r="D111" s="1991">
        <v>2</v>
      </c>
      <c r="E111" s="1993" t="s">
        <v>257</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258</v>
      </c>
      <c r="AD111" s="1296" t="s">
        <v>259</v>
      </c>
      <c r="AE111" s="1296" t="s">
        <v>260</v>
      </c>
      <c r="AF111" s="1296" t="s">
        <v>261</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877" customFormat="1" customHeight="1" ht="17.25">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77" customFormat="1" customHeight="1" ht="17.25">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77" customFormat="1" customHeight="1" ht="17.25">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77" customFormat="1" customHeight="1" ht="17.25">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77" customFormat="1" customHeight="1" ht="17.25">
      <c r="A116" s="314"/>
      <c r="C116" s="195"/>
      <c r="D116" s="1991">
        <v>3</v>
      </c>
      <c r="E116" s="1993" t="s">
        <v>262</v>
      </c>
      <c r="F116" s="1995" t="s">
        <v>60</v>
      </c>
      <c r="G116" s="2878" t="str">
        <f>INDEX(VOTV_PT_VED_NAME,MATCH(4189712,VOTV_PT_VED_ID,0))</f>
        <v>Подключение (технологическое присоединение) к централизованной системе водоотведения</v>
      </c>
      <c r="H116" s="2879"/>
      <c r="I116" s="2879">
        <v>1</v>
      </c>
      <c r="J116" s="2880" t="s">
        <v>263</v>
      </c>
      <c r="K116" s="2881" t="s">
        <v>55</v>
      </c>
      <c r="L116" s="2882"/>
      <c r="M116" s="2882" t="s">
        <v>107</v>
      </c>
      <c r="N116" s="2883" t="s">
        <v>24</v>
      </c>
      <c r="O116" s="2881" t="s">
        <v>55</v>
      </c>
      <c r="P116" s="2882"/>
      <c r="Q116" s="2882" t="s">
        <v>107</v>
      </c>
      <c r="R116" s="2884" t="s">
        <v>24</v>
      </c>
      <c r="S116" s="2885" t="s">
        <v>55</v>
      </c>
      <c r="T116" s="2885"/>
      <c r="U116" s="2885" t="s">
        <v>107</v>
      </c>
      <c r="V116" s="2886"/>
      <c r="W116" s="2880"/>
      <c r="X116" s="1296"/>
      <c r="Y116" s="1296"/>
      <c r="Z116" s="1296"/>
      <c r="AA116" s="1296"/>
      <c r="AB116" s="1296" t="s">
        <v>264</v>
      </c>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Подключение (технологическое присоединение) к централизованной системе водоотведения</v>
      </c>
      <c r="AJ116" s="1296" t="str">
        <f>IF($J$116=0,"",$J$116)</f>
        <v>Подключение (технологическое присоединение) к централизованной системе водоотведения</v>
      </c>
      <c r="AK116" s="1296" t="str">
        <f>IF($K$116="нет","без дифференциации",IF($N$116=0,"",$N$116))</f>
        <v>без дифференциации</v>
      </c>
      <c r="AL116" s="1296" t="str">
        <f>IF($O$116="нет","без дифференциации",IF($R$116=0,"",$R$116))</f>
        <v>без дифференциации</v>
      </c>
      <c r="AM116" s="1296" t="str">
        <f>IF($S$116="нет","без дифференциации",IF($V$116=0,"",$V$116))</f>
        <v>без дифференциации</v>
      </c>
      <c r="AN116" s="1813">
        <f>$I$116</f>
        <v>1</v>
      </c>
      <c r="AO116" s="1296" t="str">
        <f>$I$116&amp;"."&amp;$M$116</f>
        <v>1.1</v>
      </c>
      <c r="AP116" s="1288" t="str">
        <f>$I$116&amp;"."&amp;$M$116&amp;"."&amp;$Q$116</f>
        <v>1.1.1</v>
      </c>
      <c r="AQ116" s="1288" t="str">
        <f>$I$116&amp;"."&amp;$M$116&amp;"."&amp;$Q$116&amp;"."&amp;$U$116</f>
        <v>1.1.1.1</v>
      </c>
    </row>
    <row s="2877" customFormat="1" customHeight="1" ht="17.25">
      <c r="A117" s="314"/>
      <c r="C117" s="313"/>
      <c r="D117" s="1991"/>
      <c r="E117" s="1993"/>
      <c r="F117" s="1996"/>
      <c r="G117" s="2878"/>
      <c r="H117" s="2879"/>
      <c r="I117" s="2879"/>
      <c r="J117" s="2880"/>
      <c r="K117" s="2887"/>
      <c r="L117" s="2882"/>
      <c r="M117" s="2882"/>
      <c r="N117" s="2883" t="s">
        <v>24</v>
      </c>
      <c r="O117" s="2887"/>
      <c r="P117" s="2882"/>
      <c r="Q117" s="2882"/>
      <c r="R117" s="2884" t="s">
        <v>24</v>
      </c>
      <c r="S117" s="2885"/>
      <c r="T117" s="2888"/>
      <c r="U117" s="2889"/>
      <c r="V117" s="2889"/>
      <c r="W117" s="2880"/>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77" customFormat="1" customHeight="1" ht="17.25">
      <c r="A118" s="314"/>
      <c r="C118" s="313"/>
      <c r="D118" s="1992"/>
      <c r="E118" s="1994"/>
      <c r="F118" s="1996"/>
      <c r="G118" s="2913"/>
      <c r="H118" s="2890"/>
      <c r="I118" s="2890"/>
      <c r="J118" s="2891"/>
      <c r="K118" s="2887"/>
      <c r="L118" s="2890"/>
      <c r="M118" s="2890"/>
      <c r="N118" s="2884" t="s">
        <v>24</v>
      </c>
      <c r="O118" s="2892"/>
      <c r="P118" s="2930"/>
      <c r="Q118" s="2931"/>
      <c r="R118" s="2932" t="s">
        <v>254</v>
      </c>
      <c r="S118" s="2933"/>
      <c r="T118" s="2934"/>
      <c r="U118" s="2935"/>
      <c r="V118" s="2936"/>
      <c r="W118" s="2937"/>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77" customFormat="1" customHeight="1" ht="17.25">
      <c r="A119" s="314"/>
      <c r="C119" s="313"/>
      <c r="D119" s="1992"/>
      <c r="E119" s="1994"/>
      <c r="F119" s="1996"/>
      <c r="G119" s="2913"/>
      <c r="H119" s="2890"/>
      <c r="I119" s="2890"/>
      <c r="J119" s="2891"/>
      <c r="K119" s="2892"/>
      <c r="L119" s="2938"/>
      <c r="M119" s="2939"/>
      <c r="N119" s="2940" t="s">
        <v>255</v>
      </c>
      <c r="O119" s="2941"/>
      <c r="P119" s="2942"/>
      <c r="Q119" s="2943"/>
      <c r="R119" s="2944"/>
      <c r="S119" s="2945"/>
      <c r="T119" s="2946"/>
      <c r="U119" s="2947"/>
      <c r="V119" s="2948"/>
      <c r="W119" s="2949"/>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77" customFormat="1" customHeight="1" ht="17.25">
      <c r="A120" s="314"/>
      <c r="C120" s="313"/>
      <c r="D120" s="1992"/>
      <c r="E120" s="1994"/>
      <c r="F120" s="1997"/>
      <c r="G120" s="2913"/>
      <c r="H120" s="2950"/>
      <c r="I120" s="2951"/>
      <c r="J120" s="2952" t="s">
        <v>256</v>
      </c>
      <c r="K120" s="2953"/>
      <c r="L120" s="2954"/>
      <c r="M120" s="2955"/>
      <c r="N120" s="2956"/>
      <c r="O120" s="2957"/>
      <c r="P120" s="2958"/>
      <c r="Q120" s="2959"/>
      <c r="R120" s="2960"/>
      <c r="S120" s="2961"/>
      <c r="T120" s="2962"/>
      <c r="U120" s="2963"/>
      <c r="V120" s="2964"/>
      <c r="W120" s="2965"/>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3">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S116:S117"/>
    <mergeCell ref="W116:W117"/>
    <mergeCell ref="H116:H119"/>
    <mergeCell ref="I116:I119"/>
    <mergeCell ref="J116:J119"/>
    <mergeCell ref="K116:K119"/>
    <mergeCell ref="L116:L118"/>
    <mergeCell ref="M116:M118"/>
    <mergeCell ref="N116:N118"/>
    <mergeCell ref="O116:O118"/>
    <mergeCell ref="P116:P117"/>
    <mergeCell ref="Q116:Q117"/>
    <mergeCell ref="R116:R117"/>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B81BB-492E-B11F-9BA9-021D45E712C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73"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69"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1"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2" customFormat="1" customHeight="1" ht="14.25">
      <c r="A5" s="1672"/>
      <c r="B5" s="1671"/>
      <c r="C5" s="1545"/>
      <c r="D5" s="2053" t="str">
        <f>IF(org=0,"Не определено",org)</f>
        <v>МУП "Водоканал"</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87</v>
      </c>
      <c r="G9" s="2028" t="s">
        <v>126</v>
      </c>
      <c r="H9" s="2031"/>
      <c r="I9" s="2032"/>
      <c r="J9" s="1955"/>
      <c r="K9" s="1599"/>
      <c r="L9" s="1971" t="s">
        <v>278</v>
      </c>
      <c r="M9" s="1955"/>
      <c r="N9" s="2029" t="s">
        <v>86</v>
      </c>
      <c r="O9" s="2030"/>
      <c r="P9" s="1971" t="s">
        <v>127</v>
      </c>
      <c r="Q9" s="1596"/>
      <c r="R9" s="1971" t="s">
        <v>278</v>
      </c>
      <c r="S9" s="1955"/>
      <c r="T9" s="2029" t="s">
        <v>86</v>
      </c>
      <c r="U9" s="2030"/>
      <c r="V9" s="1971" t="s">
        <v>127</v>
      </c>
      <c r="W9" s="1596"/>
      <c r="X9" s="1971" t="s">
        <v>278</v>
      </c>
      <c r="Y9" s="1955"/>
      <c r="Z9" s="2029" t="s">
        <v>86</v>
      </c>
      <c r="AA9" s="2030"/>
      <c r="AB9" s="1971" t="s">
        <v>279</v>
      </c>
      <c r="AC9" s="1596"/>
      <c r="AD9" s="1971" t="s">
        <v>278</v>
      </c>
      <c r="AE9" s="1955"/>
      <c r="AF9" s="2029" t="s">
        <v>86</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107</v>
      </c>
      <c r="E11" s="2041" t="s">
        <v>283</v>
      </c>
      <c r="F11" s="2041" t="s">
        <v>284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1"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283</v>
      </c>
      <c r="F17" s="2041" t="s">
        <v>285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1"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283</v>
      </c>
      <c r="F23" s="2041" t="s">
        <v>286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1"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283</v>
      </c>
      <c r="F29" s="2041" t="s">
        <v>287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1"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1"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57FE8-C159-1E88-8E49-55CEC4CFF5B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2" width="15.00390625" hidden="1" customWidth="1"/>
    <col min="2" max="2" style="3044" width="15.00390625" hidden="1" customWidth="1"/>
    <col min="3" max="3" style="3122" width="3.7109375" customWidth="1"/>
    <col min="4" max="4" style="3123" width="6.8515625" customWidth="1"/>
    <col min="5" max="5" style="3122" width="52.28125" customWidth="1"/>
    <col min="6" max="6" style="3122" width="48.8515625" customWidth="1"/>
    <col min="7" max="7" style="3122" width="121.7109375" customWidth="1"/>
    <col min="8" max="8" style="3122" width="9.140625"/>
    <col min="9" max="9" style="3122" width="65.00390625" customWidth="1"/>
  </cols>
  <sheetData>
    <row customHeight="1" ht="11.25" hidden="1">
      <c r="A1" s="1726" t="s">
        <v>289</v>
      </c>
    </row>
    <row customHeight="1" ht="11.25" hidden="1"/>
    <row s="3043"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МУП "Водоканал"</v>
      </c>
      <c r="E5" s="2053"/>
      <c r="F5" s="2053"/>
      <c r="I5" s="721"/>
    </row>
    <row s="3043"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86</v>
      </c>
      <c r="E9" s="452" t="s">
        <v>292</v>
      </c>
      <c r="F9" s="452" t="s">
        <v>293</v>
      </c>
      <c r="G9" s="2062"/>
    </row>
    <row customHeight="1" ht="12" hidden="1">
      <c r="A10" s="463"/>
      <c r="B10" s="508"/>
      <c r="C10" s="463"/>
      <c r="D10" s="470"/>
      <c r="E10" s="470"/>
      <c r="F10" s="470"/>
      <c r="G10" s="470"/>
    </row>
    <row customHeight="1" ht="22.5" hidden="1">
      <c r="A11" s="463"/>
      <c r="B11" s="508"/>
      <c r="C11" s="463"/>
      <c r="D11" s="1016" t="s">
        <v>107</v>
      </c>
      <c r="E11" s="1019" t="s">
        <v>294</v>
      </c>
      <c r="F11" s="1018" t="str">
        <f>IF(region_name="","",region_name)</f>
        <v>Республика Марий Эл</v>
      </c>
      <c r="G11" s="1019" t="s">
        <v>295</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296</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297</v>
      </c>
      <c r="E14" s="1017" t="s">
        <v>298</v>
      </c>
      <c r="F14" s="1018" t="str">
        <f>IF(inn="","",inn)</f>
        <v>1215020390</v>
      </c>
      <c r="G14" s="1019" t="s">
        <v>299</v>
      </c>
      <c r="H14" s="481"/>
    </row>
    <row customHeight="1" ht="22.5" hidden="1">
      <c r="A15" s="463"/>
      <c r="B15" s="508"/>
      <c r="C15" s="463"/>
      <c r="D15" s="1016" t="s">
        <v>300</v>
      </c>
      <c r="E15" s="1017" t="s">
        <v>301</v>
      </c>
      <c r="F15" s="1018" t="str">
        <f>IF(kpp="","",kpp)</f>
        <v>121501001</v>
      </c>
      <c r="G15" s="1019" t="s">
        <v>302</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44" customFormat="1" customHeight="1" ht="24.75" hidden="1">
      <c r="A24" s="463"/>
      <c r="B24" s="508"/>
      <c r="C24" s="508"/>
      <c r="D24" s="1013" t="s">
        <v>88</v>
      </c>
      <c r="E24" s="1015" t="s">
        <v>315</v>
      </c>
      <c r="F24" s="1020" t="s">
        <v>296</v>
      </c>
      <c r="G24" s="1015"/>
    </row>
    <row s="3044" customFormat="1" customHeight="1" ht="11.25" hidden="1">
      <c r="A25" s="463"/>
      <c r="B25" s="508"/>
      <c r="C25" s="508"/>
      <c r="D25" s="1013" t="s">
        <v>316</v>
      </c>
      <c r="E25" s="1014" t="s">
        <v>317</v>
      </c>
      <c r="F25" s="1020" t="s">
        <v>296</v>
      </c>
      <c r="G25" s="1015"/>
    </row>
    <row s="3044"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44"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44"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44" customFormat="1" customHeight="1" ht="11.25" hidden="1">
      <c r="A29" s="463"/>
      <c r="B29" s="508"/>
      <c r="C29" s="508"/>
      <c r="D29" s="1013" t="s">
        <v>324</v>
      </c>
      <c r="E29" s="1014" t="s">
        <v>325</v>
      </c>
      <c r="F29" s="1022"/>
      <c r="G29" s="1015"/>
    </row>
    <row s="3044" customFormat="1" customHeight="1" ht="11.25" hidden="1">
      <c r="A30" s="463"/>
      <c r="B30" s="508"/>
      <c r="C30" s="508"/>
      <c r="D30" s="1013" t="s">
        <v>326</v>
      </c>
      <c r="E30" s="1014" t="s">
        <v>327</v>
      </c>
      <c r="F30" s="1022"/>
      <c r="G30" s="1015"/>
    </row>
    <row s="3044" customFormat="1" customHeight="1" ht="11.25" hidden="1">
      <c r="A31" s="463"/>
      <c r="B31" s="508"/>
      <c r="C31" s="508"/>
      <c r="D31" s="1013" t="s">
        <v>328</v>
      </c>
      <c r="E31" s="1014" t="s">
        <v>329</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296</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330</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330</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331</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332</v>
      </c>
      <c r="H43" s="481"/>
    </row>
    <row customHeight="1" ht="22.5">
      <c r="A44" s="463"/>
      <c r="B44" s="508"/>
      <c r="C44" s="463"/>
      <c r="D44" s="446">
        <f>D43+1</f>
        <v>11</v>
      </c>
      <c r="E44" s="444" t="s">
        <v>333</v>
      </c>
      <c r="F44" s="449" t="s">
        <v>296</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334</v>
      </c>
      <c r="H45" s="481"/>
    </row>
    <row customHeight="1" ht="22.5">
      <c r="A46" s="2054"/>
      <c r="B46" s="508"/>
      <c r="C46" s="498"/>
      <c r="D46" s="446" t="str">
        <f>D44&amp;".2"</f>
        <v>11.2</v>
      </c>
      <c r="E46" s="448" t="s">
        <v>335</v>
      </c>
      <c r="F46" s="496"/>
      <c r="G46" s="443" t="s">
        <v>336</v>
      </c>
      <c r="H46" s="481"/>
    </row>
    <row customHeight="1" ht="22.5">
      <c r="A47" s="2054"/>
      <c r="B47" s="508"/>
      <c r="C47" s="498"/>
      <c r="D47" s="446" t="str">
        <f>D44&amp;".3"</f>
        <v>11.3</v>
      </c>
      <c r="E47" s="448" t="s">
        <v>337</v>
      </c>
      <c r="F47" s="496"/>
      <c r="G47" s="443" t="s">
        <v>338</v>
      </c>
      <c r="H47" s="481"/>
    </row>
    <row customHeight="1" ht="22.5">
      <c r="A48" s="2054"/>
      <c r="B48" s="508"/>
      <c r="C48" s="498"/>
      <c r="D48" s="446" t="str">
        <f>IF(TEMPLATE_SPHERE="TKO",D44&amp;".0",D44&amp;".4")</f>
        <v>11.4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12</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0"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0"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3BE99-D485-5C88-675D-962EC05ED4B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86" width="9.140625" hidden="1" customWidth="1"/>
    <col min="2" max="2" style="3165" width="9.140625" hidden="1" customWidth="1"/>
    <col min="3" max="3" style="3187" width="3.7109375" customWidth="1"/>
    <col min="4" max="4" style="3165" width="5.57421875" customWidth="1"/>
    <col min="5" max="5" style="3165" width="48.421875" customWidth="1"/>
    <col min="6" max="6" style="3165" width="38.140625" customWidth="1"/>
    <col min="7" max="7" style="2624" width="1.7109375" hidden="1" customWidth="1"/>
    <col min="8" max="11" style="3165" width="19.8515625" hidden="1" customWidth="1"/>
    <col min="12" max="12" style="3165" width="9.7109375" hidden="1" customWidth="1"/>
    <col min="13" max="18" style="3165" width="19.8515625" hidden="1" customWidth="1"/>
    <col min="19" max="19" style="2624" width="1.7109375" hidden="1" customWidth="1"/>
    <col min="20" max="22" style="3188" width="19.8515625" customWidth="1"/>
    <col min="23" max="23" style="2624" width="1.7109375" hidden="1" customWidth="1"/>
    <col min="24" max="26" style="3188" width="19.8515625" hidden="1" customWidth="1"/>
    <col min="27" max="27" style="2624" width="1.7109375" hidden="1" customWidth="1"/>
    <col min="28" max="29" style="3188" width="19.8515625" hidden="1" customWidth="1"/>
    <col min="30" max="30" style="2624" width="1.7109375" hidden="1" customWidth="1"/>
    <col min="31" max="31" style="3165" width="103.7109375" hidden="1" customWidth="1"/>
    <col min="32" max="32" style="3188" width="103.7109375" customWidth="1"/>
    <col min="33" max="34" style="3188" width="103.7109375" hidden="1" customWidth="1"/>
    <col min="35" max="35" style="3189" width="3.7109375" customWidth="1"/>
    <col min="36" max="38" style="3142" width="10.57421875"/>
    <col min="39" max="39" style="3142" width="13.7109375" hidden="1" customWidth="1"/>
    <col min="40" max="40" style="3142" width="15.421875" customWidth="1"/>
    <col min="41" max="41" style="3142" width="16.28125" customWidth="1"/>
    <col min="42" max="45" style="3142"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125"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МУП "Водоканал"</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7"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67B96-1BF2-D7D5-DDCF-9F055AD22CF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3" width="9.140625" hidden="1" customWidth="1"/>
    <col min="2" max="2" style="3210" width="9.140625" hidden="1" customWidth="1"/>
    <col min="3" max="3" style="3187" width="3.7109375" customWidth="1"/>
    <col min="4" max="4" style="3210" width="5.57421875" customWidth="1"/>
    <col min="5" max="5" style="3210" width="38.140625" customWidth="1"/>
    <col min="6" max="7" style="3210" width="3.7109375" customWidth="1"/>
    <col min="8" max="8" style="3210" width="38.28125" customWidth="1"/>
    <col min="9" max="9" style="3210" width="35.7109375" customWidth="1"/>
    <col min="10" max="10" style="3210" width="103.7109375" customWidth="1"/>
    <col min="11" max="11" style="2982" width="3.7109375" customWidth="1"/>
    <col min="12" max="14" style="3203" width="10.57421875"/>
    <col min="15" max="15" style="3203" width="13.7109375" customWidth="1"/>
    <col min="16" max="16" style="3203" width="15.421875" customWidth="1"/>
    <col min="17" max="17" style="3203" width="16.28125" customWidth="1"/>
    <col min="18" max="21" style="3203" width="10.57421875"/>
  </cols>
  <sheetData>
    <row customHeight="1" ht="14.25" hidden="1">
      <c r="E1" s="418"/>
      <c r="F1" s="418"/>
      <c r="G1" s="418"/>
      <c r="H1" s="2082" t="s">
        <v>344</v>
      </c>
      <c r="I1" s="2082"/>
    </row>
    <row s="3190" customFormat="1" customHeight="1" ht="14.25" hidden="1">
      <c r="C2" s="1659"/>
      <c r="D2" s="2086" t="s">
        <v>107</v>
      </c>
      <c r="E2" s="2088"/>
      <c r="F2" s="1665"/>
      <c r="G2" s="1660" t="s">
        <v>107</v>
      </c>
      <c r="H2" s="1663"/>
      <c r="I2" s="1661"/>
      <c r="L2" s="1662"/>
      <c r="M2" s="1662"/>
      <c r="N2" s="1662"/>
      <c r="O2" s="1662" t="s">
        <v>374</v>
      </c>
      <c r="P2" s="1662"/>
      <c r="Q2" s="1662"/>
      <c r="R2" s="1664" t="s">
        <v>373</v>
      </c>
      <c r="S2" s="1664" t="s">
        <v>373</v>
      </c>
      <c r="T2" s="1662"/>
      <c r="U2" s="1662"/>
    </row>
    <row s="3190"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202"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МУП "Водоканал"</v>
      </c>
      <c r="E7" s="2053"/>
      <c r="F7" s="2053"/>
      <c r="G7" s="2053"/>
      <c r="H7" s="2053"/>
      <c r="I7" s="2053"/>
      <c r="J7" s="497"/>
      <c r="K7" s="1655"/>
    </row>
    <row s="3207" customFormat="1" customHeight="1" ht="6">
      <c r="A8" s="1651"/>
      <c r="C8" s="492"/>
      <c r="D8" s="491"/>
      <c r="E8" s="491"/>
      <c r="F8" s="491"/>
      <c r="G8" s="491"/>
      <c r="H8" s="491"/>
      <c r="I8" s="491"/>
      <c r="J8" s="491"/>
      <c r="L8" s="1654"/>
      <c r="M8" s="1654"/>
      <c r="N8" s="1654"/>
      <c r="O8" s="1654"/>
      <c r="P8" s="1654"/>
      <c r="Q8" s="1654"/>
      <c r="R8" s="1654"/>
      <c r="S8" s="1654"/>
      <c r="T8" s="1654"/>
      <c r="U8" s="1654"/>
    </row>
    <row s="3207"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377</v>
      </c>
      <c r="I11" s="2028" t="s">
        <v>378</v>
      </c>
      <c r="J11" s="2067"/>
    </row>
    <row customHeight="1" ht="14.25">
      <c r="C12" s="1546"/>
      <c r="D12" s="1971"/>
      <c r="E12" s="2067"/>
      <c r="F12" s="2037"/>
      <c r="G12" s="2038"/>
      <c r="H12" s="2090"/>
      <c r="I12" s="2090"/>
      <c r="J12" s="2067"/>
    </row>
    <row s="2611"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066F7-B899-F999-7CBE-45FBF593EA7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86" width="9.140625" hidden="1" customWidth="1"/>
    <col min="2" max="2" style="3165" width="9.140625" hidden="1" customWidth="1"/>
    <col min="3" max="3" style="2624" width="9.140625" hidden="1" customWidth="1"/>
    <col min="4" max="4" style="3187" width="3.7109375" customWidth="1"/>
    <col min="5" max="5" style="3165" width="6.28125" customWidth="1"/>
    <col min="6" max="6" style="2624" width="1.7109375" hidden="1" customWidth="1"/>
    <col min="7" max="8" style="3165" width="30.7109375" customWidth="1"/>
    <col min="9" max="9" style="3165" width="9.00390625" customWidth="1"/>
    <col min="10" max="10" style="3165" width="12.140625" customWidth="1"/>
    <col min="11" max="11" style="3165" width="46.7109375" customWidth="1"/>
    <col min="12" max="12" style="3165" width="100.28125" customWidth="1"/>
    <col min="13" max="13" style="3189" width="7.57421875" customWidth="1"/>
    <col min="14" max="22" style="3165" width="10.57421875"/>
  </cols>
  <sheetData>
    <row s="3142" customFormat="1" customHeight="1" ht="5.25" hidden="1">
      <c r="C1" s="517"/>
      <c r="D1" s="500"/>
      <c r="F1" s="517"/>
      <c r="G1" s="495" t="s">
        <v>81</v>
      </c>
      <c r="H1" s="495" t="s">
        <v>82</v>
      </c>
      <c r="I1" s="495" t="s">
        <v>83</v>
      </c>
      <c r="P1" s="495" t="s">
        <v>81</v>
      </c>
      <c r="Q1" s="495" t="s">
        <v>82</v>
      </c>
      <c r="R1" s="495" t="s">
        <v>83</v>
      </c>
    </row>
    <row s="3142" customFormat="1" customHeight="1" ht="5.25" hidden="1">
      <c r="C2" s="517"/>
      <c r="D2" s="500"/>
      <c r="F2" s="517"/>
    </row>
    <row s="3137"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4" customFormat="1" customHeight="1" ht="17.25">
      <c r="A5" s="765"/>
      <c r="D5" s="828"/>
      <c r="E5" s="2079" t="str">
        <f>IF(org=0,"Не определено",org)</f>
        <v>МУП "Водоканал"</v>
      </c>
      <c r="F5" s="2079"/>
      <c r="G5" s="2080"/>
      <c r="H5" s="2080"/>
      <c r="I5" s="2081"/>
      <c r="J5" s="497"/>
      <c r="K5" s="459"/>
      <c r="L5" s="459"/>
      <c r="M5" s="513"/>
    </row>
    <row s="3137"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86</v>
      </c>
      <c r="F8" s="829"/>
      <c r="G8" s="471" t="s">
        <v>84</v>
      </c>
      <c r="H8" s="471" t="s">
        <v>85</v>
      </c>
      <c r="I8" s="420" t="s">
        <v>83</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7" customFormat="1" customHeight="1" ht="14.25">
      <c r="A12" s="1953"/>
      <c r="B12" s="510"/>
      <c r="C12" s="510"/>
      <c r="D12" s="872"/>
      <c r="E12" s="829">
        <v>1</v>
      </c>
      <c r="F12" s="870">
        <v>23</v>
      </c>
      <c r="G12" s="869"/>
      <c r="H12" s="799"/>
      <c r="I12" s="797"/>
      <c r="J12" s="526" t="s">
        <v>60</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9C2FB-D3CD-95F5-0A4B-92909DBA6A1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328" width="19.140625" hidden="1" customWidth="1"/>
    <col min="13" max="14" style="3329" width="12.28125" hidden="1" customWidth="1"/>
    <col min="15" max="15" style="3329" width="23.421875" hidden="1" customWidth="1"/>
    <col min="16" max="16" style="3405" width="3.7109375" customWidth="1"/>
    <col min="17" max="18" style="3406" width="3.7109375" customWidth="1"/>
    <col min="19" max="19" style="3407" width="12.7109375" customWidth="1"/>
    <col min="20" max="20" style="2975" width="35.710937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327"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7" customFormat="1" customHeight="1" ht="14.25" hidden="1">
      <c r="L21" s="1359"/>
      <c r="M21" s="1392"/>
      <c r="N21" s="1392"/>
      <c r="O21" s="1392"/>
      <c r="P21" s="1392"/>
      <c r="Q21" s="1401"/>
      <c r="R21" s="1401"/>
      <c r="S21" s="735"/>
      <c r="AC21" s="1396"/>
      <c r="AK21" s="1396"/>
      <c r="AN21" s="517"/>
      <c r="AO21" s="517"/>
      <c r="AP21" s="517"/>
      <c r="AQ21" s="517"/>
      <c r="AR21" s="517"/>
    </row>
    <row s="3327"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0"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45275.50763888889</v>
      </c>
      <c r="W30" s="2099"/>
      <c r="X30" s="2099"/>
      <c r="Y30" s="2099"/>
      <c r="Z30" s="2099"/>
      <c r="AA30" s="2099"/>
      <c r="AB30" s="2099"/>
      <c r="AC30" s="322"/>
      <c r="AD30" s="2099" t="str">
        <f>IF(TITLE_DATE_PR_CHANGE="",IF(TITLE_DATE_PR="","",TITLE_DATE_PR),TITLE_DATE_PR_CHANGE)</f>
        <v>45275.50763888889</v>
      </c>
      <c r="AE30" s="2099"/>
      <c r="AF30" s="2099"/>
      <c r="AG30" s="2099"/>
      <c r="AH30" s="2099"/>
      <c r="AI30" s="2099"/>
      <c r="AJ30" s="2099"/>
      <c r="AK30" s="322"/>
      <c r="AL30" s="322"/>
      <c r="AM30" s="268"/>
      <c r="AN30" s="368"/>
      <c r="AO30" s="368"/>
      <c r="AP30" s="368"/>
      <c r="AQ30" s="368"/>
      <c r="AR30" s="368"/>
    </row>
    <row s="3340"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45275.50763888889</v>
      </c>
      <c r="W34" s="2099"/>
      <c r="X34" s="2099"/>
      <c r="Y34" s="2099"/>
      <c r="Z34" s="2099"/>
      <c r="AA34" s="2099"/>
      <c r="AB34" s="2099"/>
      <c r="AC34" s="322"/>
      <c r="AD34" s="2099" t="str">
        <f>IF(TITLE_DATE_PR_CHANGE="",IF(TITLE_DATE_PR="","",TITLE_DATE_PR),TITLE_DATE_PR_CHANGE)</f>
        <v>45275.50763888889</v>
      </c>
      <c r="AE34" s="2099"/>
      <c r="AF34" s="2099"/>
      <c r="AG34" s="2099"/>
      <c r="AH34" s="2099"/>
      <c r="AI34" s="2099"/>
      <c r="AJ34" s="2099"/>
      <c r="AK34" s="322"/>
      <c r="AL34" s="322"/>
      <c r="AM34" s="268"/>
      <c r="AN34" s="368"/>
      <c r="AO34" s="368"/>
      <c r="AP34" s="368"/>
      <c r="AQ34" s="368"/>
      <c r="AR34" s="368"/>
    </row>
    <row s="3340"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8"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254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255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89771-B29D-A96E-9FAF-836D234498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328" width="19.140625" hidden="1" customWidth="1"/>
    <col min="13" max="14" style="3329" width="12.28125" hidden="1" customWidth="1"/>
    <col min="15" max="15" style="3329" width="23.421875" hidden="1" customWidth="1"/>
    <col min="16" max="16" style="3350" width="3.7109375" customWidth="1"/>
    <col min="17" max="18" style="3406" width="3.7109375" customWidth="1"/>
    <col min="19" max="19" style="3407" width="12.7109375" customWidth="1"/>
    <col min="20" max="20" style="2975" width="32.0039062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7"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7" customFormat="1" customHeight="1" ht="14.25" hidden="1">
      <c r="L21" s="1359"/>
      <c r="M21" s="1392"/>
      <c r="N21" s="1392"/>
      <c r="O21" s="1392"/>
      <c r="P21" s="1392"/>
      <c r="Q21" s="1401"/>
      <c r="R21" s="1401"/>
      <c r="S21" s="735"/>
      <c r="AC21" s="1396"/>
      <c r="AK21" s="1396"/>
      <c r="AN21" s="517"/>
      <c r="AO21" s="517"/>
      <c r="AP21" s="517"/>
      <c r="AQ21" s="517"/>
      <c r="AR21" s="517"/>
    </row>
    <row s="3327"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0"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45275.50763888889</v>
      </c>
      <c r="W30" s="2099"/>
      <c r="X30" s="2099"/>
      <c r="Y30" s="2099"/>
      <c r="Z30" s="2099"/>
      <c r="AA30" s="2099"/>
      <c r="AB30" s="2099"/>
      <c r="AC30" s="322"/>
      <c r="AD30" s="2099" t="str">
        <f>IF(TITLE_DATE_PR_CHANGE="",IF(TITLE_DATE_PR="","",TITLE_DATE_PR),TITLE_DATE_PR_CHANGE)</f>
        <v>45275.50763888889</v>
      </c>
      <c r="AE30" s="2099"/>
      <c r="AF30" s="2099"/>
      <c r="AG30" s="2099"/>
      <c r="AH30" s="2099"/>
      <c r="AI30" s="2099"/>
      <c r="AJ30" s="2099"/>
      <c r="AK30" s="322"/>
      <c r="AL30" s="322"/>
      <c r="AM30" s="268"/>
      <c r="AN30" s="368"/>
      <c r="AO30" s="368"/>
      <c r="AP30" s="368"/>
      <c r="AQ30" s="368"/>
      <c r="AR30" s="368"/>
    </row>
    <row s="3340"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45275.50763888889</v>
      </c>
      <c r="W34" s="2099"/>
      <c r="X34" s="2099"/>
      <c r="Y34" s="2099"/>
      <c r="Z34" s="2099"/>
      <c r="AA34" s="2099"/>
      <c r="AB34" s="2099"/>
      <c r="AC34" s="322"/>
      <c r="AD34" s="2099" t="str">
        <f>IF(TITLE_DATE_PR_CHANGE="",IF(TITLE_DATE_PR="","",TITLE_DATE_PR),TITLE_DATE_PR_CHANGE)</f>
        <v>45275.50763888889</v>
      </c>
      <c r="AE34" s="2099"/>
      <c r="AF34" s="2099"/>
      <c r="AG34" s="2099"/>
      <c r="AH34" s="2099"/>
      <c r="AI34" s="2099"/>
      <c r="AJ34" s="2099"/>
      <c r="AK34" s="322"/>
      <c r="AL34" s="322"/>
      <c r="AM34" s="268"/>
      <c r="AN34" s="368"/>
      <c r="AO34" s="368"/>
      <c r="AP34" s="368"/>
      <c r="AQ34" s="368"/>
      <c r="AR34" s="368"/>
    </row>
    <row s="3340"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402</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8"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254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255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9AB4D-5B67-7DFE-E97B-FCE81F87C4E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328" width="19.140625" hidden="1" customWidth="1"/>
    <col min="13" max="14" style="3329" width="12.28125" hidden="1" customWidth="1"/>
    <col min="15" max="15" style="3329" width="23.421875" hidden="1" customWidth="1"/>
    <col min="16" max="16" style="3350" width="3.7109375" customWidth="1"/>
    <col min="17" max="18" style="3406" width="3.7109375" customWidth="1"/>
    <col min="19" max="19" style="3407" width="12.7109375" customWidth="1"/>
    <col min="20" max="20" style="2975" width="32.00390625" customWidth="1"/>
    <col min="21" max="21" style="2975" width="0.7109375" hidden="1" customWidth="1"/>
    <col min="22" max="22" style="2975" width="1.7109375" hidden="1" customWidth="1"/>
    <col min="23" max="23" style="2975" width="24.7109375" hidden="1" customWidth="1"/>
    <col min="24" max="25" style="2975" width="0.14062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0.140625" customWidth="1"/>
    <col min="31" max="31" style="2975" width="24.7109375" customWidth="1"/>
    <col min="32" max="33" style="2975" width="0.14062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7"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7" customFormat="1" customHeight="1" ht="14.25" hidden="1">
      <c r="L21" s="1359"/>
      <c r="M21" s="1392"/>
      <c r="N21" s="1392"/>
      <c r="O21" s="1392"/>
      <c r="P21" s="1392"/>
      <c r="Q21" s="1401"/>
      <c r="R21" s="1401"/>
      <c r="S21" s="735"/>
      <c r="AC21" s="1396"/>
      <c r="AK21" s="1396"/>
      <c r="AN21" s="517"/>
      <c r="AO21" s="517"/>
      <c r="AP21" s="517"/>
      <c r="AQ21" s="517"/>
      <c r="AR21" s="517"/>
    </row>
    <row s="3327"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0"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45275.50763888889</v>
      </c>
      <c r="W30" s="2099"/>
      <c r="X30" s="2099"/>
      <c r="Y30" s="2099"/>
      <c r="Z30" s="2099"/>
      <c r="AA30" s="2099"/>
      <c r="AB30" s="2099"/>
      <c r="AC30" s="322"/>
      <c r="AD30" s="2099" t="str">
        <f>IF(TITLE_DATE_PR_CHANGE="",IF(TITLE_DATE_PR="","",TITLE_DATE_PR),TITLE_DATE_PR_CHANGE)</f>
        <v>45275.50763888889</v>
      </c>
      <c r="AE30" s="2099"/>
      <c r="AF30" s="2099"/>
      <c r="AG30" s="2099"/>
      <c r="AH30" s="2099"/>
      <c r="AI30" s="2099"/>
      <c r="AJ30" s="2099"/>
      <c r="AK30" s="322"/>
      <c r="AL30" s="322"/>
      <c r="AM30" s="268"/>
      <c r="AN30" s="368"/>
      <c r="AO30" s="368"/>
      <c r="AP30" s="368"/>
      <c r="AQ30" s="368"/>
      <c r="AR30" s="368"/>
    </row>
    <row s="3340"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45275.50763888889</v>
      </c>
      <c r="W34" s="2099"/>
      <c r="X34" s="2099"/>
      <c r="Y34" s="2099"/>
      <c r="Z34" s="2099"/>
      <c r="AA34" s="2099"/>
      <c r="AB34" s="2099"/>
      <c r="AC34" s="322"/>
      <c r="AD34" s="2099" t="str">
        <f>IF(TITLE_DATE_PR_CHANGE="",IF(TITLE_DATE_PR="","",TITLE_DATE_PR),TITLE_DATE_PR_CHANGE)</f>
        <v>45275.50763888889</v>
      </c>
      <c r="AE34" s="2099"/>
      <c r="AF34" s="2099"/>
      <c r="AG34" s="2099"/>
      <c r="AH34" s="2099"/>
      <c r="AI34" s="2099"/>
      <c r="AJ34" s="2099"/>
      <c r="AK34" s="322"/>
      <c r="AL34" s="322"/>
      <c r="AM34" s="268"/>
      <c r="AN34" s="368"/>
      <c r="AO34" s="368"/>
      <c r="AP34" s="368"/>
      <c r="AQ34" s="368"/>
      <c r="AR34" s="368"/>
    </row>
    <row s="3340"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420" customFormat="1" customHeight="1" ht="23.2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402</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8"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254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255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8AEFA-46FB-D517-599D-69539F47F94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328" width="19.140625" hidden="1" customWidth="1"/>
    <col min="13" max="14" style="3329" width="12.28125" hidden="1" customWidth="1"/>
    <col min="15" max="15" style="3329" width="23.421875" hidden="1" customWidth="1"/>
    <col min="16" max="16" style="3350" width="3.7109375" hidden="1" customWidth="1"/>
    <col min="17" max="18" style="3406" width="3.7109375" customWidth="1"/>
    <col min="19" max="19" style="3407" width="12.7109375" customWidth="1"/>
    <col min="20" max="20" style="2975" width="32.0039062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7"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7" customFormat="1" customHeight="1" ht="14.25" hidden="1">
      <c r="L21" s="1359"/>
      <c r="M21" s="1392"/>
      <c r="N21" s="1392"/>
      <c r="O21" s="1392"/>
      <c r="P21" s="1392"/>
      <c r="Q21" s="1401"/>
      <c r="R21" s="1401"/>
      <c r="S21" s="735"/>
      <c r="AC21" s="1396"/>
      <c r="AK21" s="1396"/>
      <c r="AN21" s="517"/>
      <c r="AO21" s="517"/>
      <c r="AP21" s="517"/>
      <c r="AQ21" s="517"/>
      <c r="AR21" s="517"/>
    </row>
    <row s="3327"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0"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45275.50763888889</v>
      </c>
      <c r="W30" s="2099"/>
      <c r="X30" s="2099"/>
      <c r="Y30" s="2099"/>
      <c r="Z30" s="2099"/>
      <c r="AA30" s="2099"/>
      <c r="AB30" s="2099"/>
      <c r="AC30" s="322"/>
      <c r="AD30" s="2099" t="str">
        <f>IF(TITLE_DATE_PR_CHANGE="",IF(TITLE_DATE_PR="","",TITLE_DATE_PR),TITLE_DATE_PR_CHANGE)</f>
        <v>45275.50763888889</v>
      </c>
      <c r="AE30" s="2099"/>
      <c r="AF30" s="2099"/>
      <c r="AG30" s="2099"/>
      <c r="AH30" s="2099"/>
      <c r="AI30" s="2099"/>
      <c r="AJ30" s="2099"/>
      <c r="AK30" s="322"/>
      <c r="AL30" s="322"/>
      <c r="AM30" s="268"/>
      <c r="AN30" s="368"/>
      <c r="AO30" s="368"/>
      <c r="AP30" s="368"/>
      <c r="AQ30" s="368"/>
      <c r="AR30" s="368"/>
    </row>
    <row s="3340"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45275.50763888889</v>
      </c>
      <c r="W34" s="2099"/>
      <c r="X34" s="2099"/>
      <c r="Y34" s="2099"/>
      <c r="Z34" s="2099"/>
      <c r="AA34" s="2099"/>
      <c r="AB34" s="2099"/>
      <c r="AC34" s="322"/>
      <c r="AD34" s="2099" t="str">
        <f>IF(TITLE_DATE_PR_CHANGE="",IF(TITLE_DATE_PR="","",TITLE_DATE_PR),TITLE_DATE_PR_CHANGE)</f>
        <v>45275.50763888889</v>
      </c>
      <c r="AE34" s="2099"/>
      <c r="AF34" s="2099"/>
      <c r="AG34" s="2099"/>
      <c r="AH34" s="2099"/>
      <c r="AI34" s="2099"/>
      <c r="AJ34" s="2099"/>
      <c r="AK34" s="322"/>
      <c r="AL34" s="322"/>
      <c r="AM34" s="268"/>
      <c r="AN34" s="368"/>
      <c r="AO34" s="368"/>
      <c r="AP34" s="368"/>
      <c r="AQ34" s="368"/>
      <c r="AR34" s="368"/>
    </row>
    <row s="3340"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166</v>
      </c>
      <c r="B47" s="1373" t="s">
        <v>167</v>
      </c>
      <c r="C47" s="1373" t="s">
        <v>168</v>
      </c>
      <c r="D47" s="1373" t="s">
        <v>169</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439</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8"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254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255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1B765-7A76-E9CC-B4DA-1A83F1DAB1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328" width="19.140625" hidden="1" customWidth="1"/>
    <col min="13" max="14" style="3329" width="12.28125" hidden="1" customWidth="1"/>
    <col min="15" max="15" style="3329" width="23.421875" hidden="1" customWidth="1"/>
    <col min="16" max="16" style="3350" width="3.7109375" hidden="1" customWidth="1"/>
    <col min="17" max="18" style="3406" width="3.7109375" customWidth="1"/>
    <col min="19" max="19" style="3407" width="12.7109375" customWidth="1"/>
    <col min="20" max="20" style="2975" width="32.0039062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8"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7"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7" customFormat="1" customHeight="1" ht="14.25" hidden="1">
      <c r="L21" s="1359"/>
      <c r="M21" s="1392"/>
      <c r="N21" s="1392"/>
      <c r="O21" s="1392"/>
      <c r="P21" s="1392"/>
      <c r="Q21" s="1401"/>
      <c r="R21" s="1401"/>
      <c r="S21" s="735"/>
      <c r="AC21" s="1396"/>
      <c r="AK21" s="1396"/>
      <c r="AN21" s="517"/>
      <c r="AO21" s="517"/>
      <c r="AP21" s="517"/>
      <c r="AQ21" s="517"/>
      <c r="AR21" s="517"/>
    </row>
    <row s="3327"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0"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45275.50763888889</v>
      </c>
      <c r="W30" s="2099"/>
      <c r="X30" s="2099"/>
      <c r="Y30" s="2099"/>
      <c r="Z30" s="2099"/>
      <c r="AA30" s="2099"/>
      <c r="AB30" s="2099"/>
      <c r="AC30" s="322"/>
      <c r="AD30" s="2099" t="str">
        <f>IF(TITLE_DATE_PR_CHANGE="",IF(TITLE_DATE_PR="","",TITLE_DATE_PR),TITLE_DATE_PR_CHANGE)</f>
        <v>45275.50763888889</v>
      </c>
      <c r="AE30" s="2099"/>
      <c r="AF30" s="2099"/>
      <c r="AG30" s="2099"/>
      <c r="AH30" s="2099"/>
      <c r="AI30" s="2099"/>
      <c r="AJ30" s="2099"/>
      <c r="AK30" s="322"/>
      <c r="AL30" s="322"/>
      <c r="AM30" s="268"/>
      <c r="AN30" s="368"/>
      <c r="AO30" s="368"/>
      <c r="AP30" s="368"/>
      <c r="AQ30" s="368"/>
      <c r="AR30" s="368"/>
    </row>
    <row s="3340"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45275.50763888889</v>
      </c>
      <c r="W34" s="2099"/>
      <c r="X34" s="2099"/>
      <c r="Y34" s="2099"/>
      <c r="Z34" s="2099"/>
      <c r="AA34" s="2099"/>
      <c r="AB34" s="2099"/>
      <c r="AC34" s="322"/>
      <c r="AD34" s="2099" t="str">
        <f>IF(TITLE_DATE_PR_CHANGE="",IF(TITLE_DATE_PR="","",TITLE_DATE_PR),TITLE_DATE_PR_CHANGE)</f>
        <v>45275.50763888889</v>
      </c>
      <c r="AE34" s="2099"/>
      <c r="AF34" s="2099"/>
      <c r="AG34" s="2099"/>
      <c r="AH34" s="2099"/>
      <c r="AI34" s="2099"/>
      <c r="AJ34" s="2099"/>
      <c r="AK34" s="322"/>
      <c r="AL34" s="322"/>
      <c r="AM34" s="268"/>
      <c r="AN34" s="368"/>
      <c r="AO34" s="368"/>
      <c r="AP34" s="368"/>
      <c r="AQ34" s="368"/>
      <c r="AR34" s="368"/>
    </row>
    <row s="3340"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178</v>
      </c>
      <c r="B47" s="1373" t="s">
        <v>179</v>
      </c>
      <c r="C47" s="1373" t="s">
        <v>180</v>
      </c>
      <c r="D47" s="1373" t="s">
        <v>181</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439</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8"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254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255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62E9C-E93E-E7BF-6DFB-5903701DF1F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328" width="19.140625" hidden="1" customWidth="1"/>
    <col min="13" max="14" style="3329" width="12.28125" hidden="1" customWidth="1"/>
    <col min="15" max="15" style="3329" width="23.421875" hidden="1" customWidth="1"/>
    <col min="16" max="16" style="3350" width="3.7109375" hidden="1" customWidth="1"/>
    <col min="17" max="18" style="3406" width="3.7109375" customWidth="1"/>
    <col min="19" max="19" style="3407" width="12.7109375" customWidth="1"/>
    <col min="20" max="20" style="2975" width="32.0039062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8"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327"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327" customFormat="1" customHeight="1" ht="14.25" hidden="1">
      <c r="L21" s="1359"/>
      <c r="M21" s="1392"/>
      <c r="N21" s="1392"/>
      <c r="O21" s="1392"/>
      <c r="P21" s="1392"/>
      <c r="Q21" s="1401"/>
      <c r="R21" s="1401"/>
      <c r="S21" s="735"/>
      <c r="AC21" s="1396"/>
      <c r="AK21" s="1396"/>
      <c r="AN21" s="517"/>
      <c r="AO21" s="517"/>
      <c r="AP21" s="517"/>
      <c r="AQ21" s="517"/>
      <c r="AR21" s="517"/>
    </row>
    <row s="3327"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промышленности, экономического развития и торговли Республики Марий Эл</v>
      </c>
      <c r="W29" s="2100"/>
      <c r="X29" s="2100"/>
      <c r="Y29" s="2100"/>
      <c r="Z29" s="2100"/>
      <c r="AA29" s="2100"/>
      <c r="AB29" s="2100"/>
      <c r="AC29" s="322"/>
      <c r="AD29" s="2100" t="str">
        <f>IF(TITLE_NAME_OR_PR_CHANGE="",IF(TITLE_NAME_OR_PR="","",TITLE_NAME_OR_PR),TITLE_NAME_OR_PR_CHANGE)</f>
        <v>Министерство промышленности, экономического развития и торговли Республики Марий Эл</v>
      </c>
      <c r="AE29" s="2100"/>
      <c r="AF29" s="2100"/>
      <c r="AG29" s="2100"/>
      <c r="AH29" s="2100"/>
      <c r="AI29" s="2100"/>
      <c r="AJ29" s="2100"/>
      <c r="AK29" s="322"/>
      <c r="AL29" s="322"/>
      <c r="AM29" s="268"/>
      <c r="AN29" s="368"/>
      <c r="AO29" s="368"/>
      <c r="AP29" s="368"/>
      <c r="AQ29" s="368"/>
      <c r="AR29" s="368"/>
    </row>
    <row s="3340"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45275.50763888889</v>
      </c>
      <c r="W30" s="2099"/>
      <c r="X30" s="2099"/>
      <c r="Y30" s="2099"/>
      <c r="Z30" s="2099"/>
      <c r="AA30" s="2099"/>
      <c r="AB30" s="2099"/>
      <c r="AC30" s="322"/>
      <c r="AD30" s="2099" t="str">
        <f>IF(TITLE_DATE_PR_CHANGE="",IF(TITLE_DATE_PR="","",TITLE_DATE_PR),TITLE_DATE_PR_CHANGE)</f>
        <v>45275.50763888889</v>
      </c>
      <c r="AE30" s="2099"/>
      <c r="AF30" s="2099"/>
      <c r="AG30" s="2099"/>
      <c r="AH30" s="2099"/>
      <c r="AI30" s="2099"/>
      <c r="AJ30" s="2099"/>
      <c r="AK30" s="322"/>
      <c r="AL30" s="322"/>
      <c r="AM30" s="268"/>
      <c r="AN30" s="368"/>
      <c r="AO30" s="368"/>
      <c r="AP30" s="368"/>
      <c r="AQ30" s="368"/>
      <c r="AR30" s="368"/>
    </row>
    <row s="3340"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52т, 102т</v>
      </c>
      <c r="W31" s="2100"/>
      <c r="X31" s="2100"/>
      <c r="Y31" s="2100"/>
      <c r="Z31" s="2100"/>
      <c r="AA31" s="2100"/>
      <c r="AB31" s="2100"/>
      <c r="AC31" s="322"/>
      <c r="AD31" s="2100" t="str">
        <f>IF(TITLE_NUMBER_PR_CHANGE="",IF(TITLE_NUMBER_PR="","",TITLE_NUMBER_PR),TITLE_NUMBER_PR_CHANGE)</f>
        <v>52т, 102т</v>
      </c>
      <c r="AE31" s="2100"/>
      <c r="AF31" s="2100"/>
      <c r="AG31" s="2100"/>
      <c r="AH31" s="2100"/>
      <c r="AI31" s="2100"/>
      <c r="AJ31" s="2100"/>
      <c r="AK31" s="322"/>
      <c r="AL31" s="322"/>
      <c r="AM31" s="268"/>
      <c r="AN31" s="368"/>
      <c r="AO31" s="368"/>
      <c r="AP31" s="368"/>
      <c r="AQ31" s="368"/>
      <c r="AR31" s="368"/>
    </row>
    <row s="3340"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https://mari-el.gov.ru/ministries/mecon/tarif/pages/resheniya-ob-ustanovlenii-tarifov-vodosnabzhenie-vodootvedenie-utilizatsiya-tbo/#close</v>
      </c>
      <c r="W32" s="2100"/>
      <c r="X32" s="2100"/>
      <c r="Y32" s="2100"/>
      <c r="Z32" s="2100"/>
      <c r="AA32" s="2100"/>
      <c r="AB32" s="2100"/>
      <c r="AC32" s="322"/>
      <c r="AD32" s="2100" t="str">
        <f>IF(TITLE_IST_PUB_CHANGE="",IF(TITLE_IST_PUB="","",TITLE_IST_PUB),TITLE_IST_PUB_CHANGE)</f>
        <v>https://mari-el.gov.ru/ministries/mecon/tarif/pages/resheniya-ob-ustanovlenii-tarifov-vodosnabzhenie-vodootvedenie-utilizatsiya-tbo/#close</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45275.50763888889</v>
      </c>
      <c r="W34" s="2099"/>
      <c r="X34" s="2099"/>
      <c r="Y34" s="2099"/>
      <c r="Z34" s="2099"/>
      <c r="AA34" s="2099"/>
      <c r="AB34" s="2099"/>
      <c r="AC34" s="322"/>
      <c r="AD34" s="2099" t="str">
        <f>IF(TITLE_DATE_PR_CHANGE="",IF(TITLE_DATE_PR="","",TITLE_DATE_PR),TITLE_DATE_PR_CHANGE)</f>
        <v>45275.50763888889</v>
      </c>
      <c r="AE34" s="2099"/>
      <c r="AF34" s="2099"/>
      <c r="AG34" s="2099"/>
      <c r="AH34" s="2099"/>
      <c r="AI34" s="2099"/>
      <c r="AJ34" s="2099"/>
      <c r="AK34" s="322"/>
      <c r="AL34" s="322"/>
      <c r="AM34" s="268"/>
      <c r="AN34" s="368"/>
      <c r="AO34" s="368"/>
      <c r="AP34" s="368"/>
      <c r="AQ34" s="368"/>
      <c r="AR34" s="368"/>
    </row>
    <row s="3340"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52т, 102т</v>
      </c>
      <c r="W35" s="2100"/>
      <c r="X35" s="2100"/>
      <c r="Y35" s="2100"/>
      <c r="Z35" s="2100"/>
      <c r="AA35" s="2100"/>
      <c r="AB35" s="2100"/>
      <c r="AC35" s="322"/>
      <c r="AD35" s="2100" t="str">
        <f>IF(TITLE_NUMBER_PR_CHANGE="",IF(TITLE_NUMBER_PR="","",TITLE_NUMBER_PR),TITLE_NUMBER_PR_CHANGE)</f>
        <v>52т, 102т</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439</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8"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254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255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256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CB995-1A62-10D1-6C0A-E13DCD8D425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75" width="10.57421875" hidden="1"/>
    <col min="2" max="2" style="2975" width="11.00390625" hidden="1" customWidth="1"/>
    <col min="3" max="3" style="2975" width="10.57421875" hidden="1"/>
    <col min="4" max="4" style="2975" width="11.8515625" hidden="1" customWidth="1"/>
    <col min="5" max="5" style="2975" width="10.00390625" hidden="1" customWidth="1"/>
    <col min="6" max="6" style="2975" width="8.7109375" hidden="1" customWidth="1"/>
    <col min="7" max="7" style="2975" width="7.57421875" hidden="1" customWidth="1"/>
    <col min="8" max="8" style="2975" width="11.421875" hidden="1" customWidth="1"/>
    <col min="9" max="9" style="2975" width="12.00390625" hidden="1" customWidth="1"/>
    <col min="10" max="10" style="2975" width="9.8515625" hidden="1" customWidth="1"/>
    <col min="11" max="12" style="2975" width="11.421875" hidden="1" customWidth="1"/>
    <col min="13" max="13" style="3464" width="19.140625" hidden="1" customWidth="1"/>
    <col min="14" max="15" style="3350" width="12.28125" hidden="1" customWidth="1"/>
    <col min="16" max="16" style="3350" width="23.421875" hidden="1" customWidth="1"/>
    <col min="17" max="17" style="3350" width="3.7109375" hidden="1" customWidth="1"/>
    <col min="18" max="20" style="3406" width="3.7109375" customWidth="1"/>
    <col min="21" max="21" style="3407" width="12.7109375" customWidth="1"/>
    <col min="22" max="22" style="2975" width="32.00390625" customWidth="1"/>
    <col min="23" max="23" style="2975" width="0.140625" customWidth="1"/>
    <col min="24" max="28" style="2975" width="21.7109375" hidden="1" customWidth="1"/>
    <col min="29" max="29" style="2975" width="11.7109375" hidden="1" customWidth="1"/>
    <col min="30" max="30" style="2975" width="3.7109375" hidden="1" customWidth="1"/>
    <col min="31" max="31" style="2975" width="11.7109375" hidden="1" customWidth="1"/>
    <col min="32" max="32" style="2975" width="8.57421875" hidden="1" customWidth="1"/>
    <col min="33" max="37" style="2975" width="21.7109375" customWidth="1"/>
    <col min="38" max="38" style="2975" width="11.7109375" customWidth="1"/>
    <col min="39" max="39" style="2975" width="3.7109375" customWidth="1"/>
    <col min="40" max="40" style="2975" width="11.7109375" customWidth="1"/>
    <col min="41" max="41" style="2975" width="8.57421875" customWidth="1"/>
    <col min="42" max="42" style="2975" width="4.7109375" customWidth="1"/>
    <col min="43" max="43" style="2975"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8"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8"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254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8"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255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27"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327"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27"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МУП "Водоканал"</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0"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промышленности, экономического развития и торговли Республики Марий Эл</v>
      </c>
      <c r="Y33" s="2100"/>
      <c r="Z33" s="2100"/>
      <c r="AA33" s="2100"/>
      <c r="AB33" s="2100"/>
      <c r="AC33" s="2100"/>
      <c r="AD33" s="2100"/>
      <c r="AE33" s="2100"/>
      <c r="AF33" s="322"/>
      <c r="AG33" s="2100" t="str">
        <f>IF(TITLE_NAME_OR_PR_CHANGE="",IF(TITLE_NAME_OR_PR="","",TITLE_NAME_OR_PR),TITLE_NAME_OR_PR_CHANGE)</f>
        <v>Министерство промышленности, экономического развития и торговли Республики Марий Эл</v>
      </c>
      <c r="AH33" s="2100"/>
      <c r="AI33" s="2100"/>
      <c r="AJ33" s="2100"/>
      <c r="AK33" s="2100"/>
      <c r="AL33" s="2100"/>
      <c r="AM33" s="2100"/>
      <c r="AN33" s="2100"/>
      <c r="AO33" s="322"/>
      <c r="AP33" s="322"/>
      <c r="AQ33" s="268"/>
      <c r="AR33" s="368"/>
      <c r="AS33" s="368"/>
      <c r="AT33" s="368"/>
      <c r="AU33" s="368"/>
      <c r="AV33" s="368"/>
    </row>
    <row s="3340"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45275.50763888889</v>
      </c>
      <c r="Y34" s="2099"/>
      <c r="Z34" s="2099"/>
      <c r="AA34" s="2099"/>
      <c r="AB34" s="2099"/>
      <c r="AC34" s="2099"/>
      <c r="AD34" s="2099"/>
      <c r="AE34" s="2099"/>
      <c r="AF34" s="322"/>
      <c r="AG34" s="2099" t="str">
        <f>IF(TITLE_DATE_PR_CHANGE="",IF(TITLE_DATE_PR="","",TITLE_DATE_PR),TITLE_DATE_PR_CHANGE)</f>
        <v>45275.50763888889</v>
      </c>
      <c r="AH34" s="2099"/>
      <c r="AI34" s="2099"/>
      <c r="AJ34" s="2099"/>
      <c r="AK34" s="2099"/>
      <c r="AL34" s="2099"/>
      <c r="AM34" s="2099"/>
      <c r="AN34" s="2099"/>
      <c r="AO34" s="322"/>
      <c r="AP34" s="322"/>
      <c r="AQ34" s="268"/>
      <c r="AR34" s="368"/>
      <c r="AS34" s="368"/>
      <c r="AT34" s="368"/>
      <c r="AU34" s="368"/>
      <c r="AV34" s="368"/>
    </row>
    <row s="3340"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52т, 102т</v>
      </c>
      <c r="Y35" s="2100"/>
      <c r="Z35" s="2100"/>
      <c r="AA35" s="2100"/>
      <c r="AB35" s="2100"/>
      <c r="AC35" s="2100"/>
      <c r="AD35" s="2100"/>
      <c r="AE35" s="2100"/>
      <c r="AF35" s="322"/>
      <c r="AG35" s="2100" t="str">
        <f>IF(TITLE_NUMBER_PR_CHANGE="",IF(TITLE_NUMBER_PR="","",TITLE_NUMBER_PR),TITLE_NUMBER_PR_CHANGE)</f>
        <v>52т, 102т</v>
      </c>
      <c r="AH35" s="2100"/>
      <c r="AI35" s="2100"/>
      <c r="AJ35" s="2100"/>
      <c r="AK35" s="2100"/>
      <c r="AL35" s="2100"/>
      <c r="AM35" s="2100"/>
      <c r="AN35" s="2100"/>
      <c r="AO35" s="322"/>
      <c r="AP35" s="322"/>
      <c r="AQ35" s="268"/>
      <c r="AR35" s="368"/>
      <c r="AS35" s="368"/>
      <c r="AT35" s="368"/>
      <c r="AU35" s="368"/>
      <c r="AV35" s="368"/>
    </row>
    <row s="3340"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https://mari-el.gov.ru/ministries/mecon/tarif/pages/resheniya-ob-ustanovlenii-tarifov-vodosnabzhenie-vodootvedenie-utilizatsiya-tbo/#close</v>
      </c>
      <c r="Y36" s="2100"/>
      <c r="Z36" s="2100"/>
      <c r="AA36" s="2100"/>
      <c r="AB36" s="2100"/>
      <c r="AC36" s="2100"/>
      <c r="AD36" s="2100"/>
      <c r="AE36" s="2100"/>
      <c r="AF36" s="322"/>
      <c r="AG36" s="2100" t="str">
        <f>IF(TITLE_IST_PUB_CHANGE="",IF(TITLE_IST_PUB="","",TITLE_IST_PUB),TITLE_IST_PUB_CHANGE)</f>
        <v>https://mari-el.gov.ru/ministries/mecon/tarif/pages/resheniya-ob-ustanovlenii-tarifov-vodosnabzhenie-vodootvedenie-utilizatsiya-tbo/#close</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0"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45275.50763888889</v>
      </c>
      <c r="Y38" s="2099"/>
      <c r="Z38" s="2099"/>
      <c r="AA38" s="2099"/>
      <c r="AB38" s="2099"/>
      <c r="AC38" s="2099"/>
      <c r="AD38" s="2099"/>
      <c r="AE38" s="2099"/>
      <c r="AF38" s="322"/>
      <c r="AG38" s="2099" t="str">
        <f>IF(TITLE_DATE_PR_CHANGE="",IF(TITLE_DATE_PR="","",TITLE_DATE_PR),TITLE_DATE_PR_CHANGE)</f>
        <v>45275.50763888889</v>
      </c>
      <c r="AH38" s="2099"/>
      <c r="AI38" s="2099"/>
      <c r="AJ38" s="2099"/>
      <c r="AK38" s="2099"/>
      <c r="AL38" s="2099"/>
      <c r="AM38" s="2099"/>
      <c r="AN38" s="2099"/>
      <c r="AO38" s="322"/>
      <c r="AP38" s="322"/>
      <c r="AQ38" s="268"/>
      <c r="AR38" s="368"/>
      <c r="AS38" s="368"/>
      <c r="AT38" s="368"/>
      <c r="AU38" s="368"/>
      <c r="AV38" s="368"/>
    </row>
    <row s="3340"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52т, 102т</v>
      </c>
      <c r="Y39" s="2100"/>
      <c r="Z39" s="2100"/>
      <c r="AA39" s="2100"/>
      <c r="AB39" s="2100"/>
      <c r="AC39" s="2100"/>
      <c r="AD39" s="2100"/>
      <c r="AE39" s="2100"/>
      <c r="AF39" s="322"/>
      <c r="AG39" s="2100" t="str">
        <f>IF(TITLE_NUMBER_PR_CHANGE="",IF(TITLE_NUMBER_PR="","",TITLE_NUMBER_PR),TITLE_NUMBER_PR_CHANGE)</f>
        <v>52т, 102т</v>
      </c>
      <c r="AH39" s="2100"/>
      <c r="AI39" s="2100"/>
      <c r="AJ39" s="2100"/>
      <c r="AK39" s="2100"/>
      <c r="AL39" s="2100"/>
      <c r="AM39" s="2100"/>
      <c r="AN39" s="2100"/>
      <c r="AO39" s="322"/>
      <c r="AP39" s="322"/>
      <c r="AQ39" s="268"/>
      <c r="AR39" s="368"/>
      <c r="AS39" s="368"/>
      <c r="AT39" s="368"/>
      <c r="AU39" s="368"/>
      <c r="AV39" s="368"/>
    </row>
    <row s="3340"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86</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133</v>
      </c>
      <c r="C47" s="1288" t="s">
        <v>134</v>
      </c>
      <c r="D47" s="1288" t="s">
        <v>135</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2" customFormat="1" customHeight="1" ht="0">
      <c r="A53" s="1405" t="s">
        <v>172</v>
      </c>
      <c r="B53" s="1405" t="s">
        <v>173</v>
      </c>
      <c r="C53" s="1405" t="s">
        <v>174</v>
      </c>
      <c r="D53" s="1405" t="s">
        <v>175</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440</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8"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8"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254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255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8"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256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C346D-BB4F-40EB-FC2C-42684D9190C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328"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5" width="32.00390625" customWidth="1"/>
    <col min="21" max="21" style="2975" width="0.140625" customWidth="1"/>
    <col min="22" max="23" style="2975" width="21.7109375" hidden="1" customWidth="1"/>
    <col min="24" max="24" style="2975" width="11.7109375" hidden="1" customWidth="1"/>
    <col min="25" max="25" style="2975" width="3.7109375" hidden="1" customWidth="1"/>
    <col min="26" max="26" style="2975" width="11.7109375" hidden="1" customWidth="1"/>
    <col min="27" max="27" style="2975" width="8.57421875" hidden="1" customWidth="1"/>
    <col min="28" max="28" style="2975" width="5.421875" customWidth="1"/>
    <col min="29" max="30" style="2975" width="3.7109375" customWidth="1"/>
    <col min="31" max="31" style="2975" width="24.7109375" customWidth="1"/>
    <col min="32" max="34" style="2975" width="3.7109375" customWidth="1"/>
    <col min="35" max="35" style="2975" width="24.7109375" customWidth="1"/>
    <col min="36" max="38" style="2975" width="3.7109375" customWidth="1"/>
    <col min="39" max="39" style="2975" width="18.8515625" customWidth="1"/>
    <col min="40" max="41" style="2975" width="21.7109375" customWidth="1"/>
    <col min="42" max="42" style="2975" width="11.7109375" customWidth="1"/>
    <col min="43" max="43" style="2975" width="3.7109375" customWidth="1"/>
    <col min="44" max="44" style="2975" width="11.7109375" customWidth="1"/>
    <col min="45" max="45" style="2975" width="8.57421875" customWidth="1"/>
    <col min="46" max="46" style="2975" width="4.7109375" customWidth="1"/>
    <col min="47" max="47" style="2975"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8"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8"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254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3"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МУП "Водоканал"</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0"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промышленности, экономического развития и торговли Республики Марий Эл</v>
      </c>
      <c r="W30" s="2100"/>
      <c r="X30" s="2100"/>
      <c r="Y30" s="2100"/>
      <c r="Z30" s="2100"/>
      <c r="AA30" s="322"/>
      <c r="AB30" s="2100" t="str">
        <f>IF(TITLE_NAME_OR_PR_CHANGE="",IF(TITLE_NAME_OR_PR="","",TITLE_NAME_OR_PR),TITLE_NAME_OR_PR_CHANGE)</f>
        <v>Министерство промышленности, экономического развития и торговли Республики Марий Эл</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0"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45275.50763888889</v>
      </c>
      <c r="W31" s="2099"/>
      <c r="X31" s="2099"/>
      <c r="Y31" s="2099"/>
      <c r="Z31" s="2099"/>
      <c r="AA31" s="322"/>
      <c r="AB31" s="2099" t="str">
        <f>IF(TITLE_DATE_PR_CHANGE="",IF(TITLE_DATE_PR="","",TITLE_DATE_PR),TITLE_DATE_PR_CHANGE)</f>
        <v>45275.50763888889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0"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52т, 102т</v>
      </c>
      <c r="W32" s="2100"/>
      <c r="X32" s="2100"/>
      <c r="Y32" s="2100"/>
      <c r="Z32" s="2100"/>
      <c r="AA32" s="322"/>
      <c r="AB32" s="2100" t="str">
        <f>IF(TITLE_NUMBER_PR_CHANGE="",IF(TITLE_NUMBER_PR="","",TITLE_NUMBER_PR),TITLE_NUMBER_PR_CHANGE)</f>
        <v>52т, 102т</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0"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https://mari-el.gov.ru/ministries/mecon/tarif/pages/resheniya-ob-ustanovlenii-tarifov-vodosnabzhenie-vodootvedenie-utilizatsiya-tbo/#close</v>
      </c>
      <c r="W33" s="2100"/>
      <c r="X33" s="2100"/>
      <c r="Y33" s="2100"/>
      <c r="Z33" s="2100"/>
      <c r="AA33" s="322"/>
      <c r="AB33" s="2100" t="str">
        <f>IF(TITLE_IST_PUB_CHANGE="",IF(TITLE_IST_PUB="","",TITLE_IST_PUB),TITLE_IST_PUB_CHANGE)</f>
        <v>https://mari-el.gov.ru/ministries/mecon/tarif/pages/resheniya-ob-ustanovlenii-tarifov-vodosnabzhenie-vodootvedenie-utilizatsiya-tbo/#close</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0"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45275.50763888889</v>
      </c>
      <c r="W35" s="2099"/>
      <c r="X35" s="2099"/>
      <c r="Y35" s="2099"/>
      <c r="Z35" s="2099"/>
      <c r="AA35" s="322"/>
      <c r="AB35" s="2099" t="str">
        <f>IF(TITLE_DATE_PR_CHANGE="",IF(TITLE_DATE_PR="","",TITLE_DATE_PR),TITLE_DATE_PR_CHANGE)</f>
        <v>45275.50763888889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0"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52т, 102т</v>
      </c>
      <c r="W36" s="2100"/>
      <c r="X36" s="2100"/>
      <c r="Y36" s="2100"/>
      <c r="Z36" s="2100"/>
      <c r="AA36" s="322"/>
      <c r="AB36" s="2100" t="str">
        <f>IF(TITLE_NUMBER_PR_CHANGE="",IF(TITLE_NUMBER_PR="","",TITLE_NUMBER_PR),TITLE_NUMBER_PR_CHANGE)</f>
        <v>52т, 102т</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0"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86</v>
      </c>
      <c r="T40" s="2062" t="s">
        <v>461</v>
      </c>
      <c r="U40" s="289"/>
      <c r="V40" s="2127"/>
      <c r="W40" s="2127"/>
      <c r="X40" s="2127"/>
      <c r="Y40" s="2127"/>
      <c r="Z40" s="2128"/>
      <c r="AA40" s="2189" t="s">
        <v>420</v>
      </c>
      <c r="AB40" s="2173" t="s">
        <v>462</v>
      </c>
      <c r="AC40" s="2146"/>
      <c r="AD40" s="2146"/>
      <c r="AE40" s="2174"/>
      <c r="AF40" s="2146" t="s">
        <v>463</v>
      </c>
      <c r="AG40" s="2146"/>
      <c r="AH40" s="2146"/>
      <c r="AI40" s="2174"/>
      <c r="AJ40" s="2173" t="s">
        <v>464</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465</v>
      </c>
      <c r="W41" s="2030"/>
      <c r="X41" s="2144" t="s">
        <v>426</v>
      </c>
      <c r="Y41" s="2162"/>
      <c r="Z41" s="2163"/>
      <c r="AA41" s="2190"/>
      <c r="AB41" s="2175"/>
      <c r="AC41" s="2176"/>
      <c r="AD41" s="2176"/>
      <c r="AE41" s="2188"/>
      <c r="AF41" s="2176"/>
      <c r="AG41" s="2176"/>
      <c r="AH41" s="2176"/>
      <c r="AI41" s="2188"/>
      <c r="AJ41" s="2175"/>
      <c r="AK41" s="2176"/>
      <c r="AL41" s="2176"/>
      <c r="AM41" s="2176"/>
      <c r="AN41" s="1971" t="s">
        <v>466</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427</v>
      </c>
      <c r="F43" s="1394" t="s">
        <v>428</v>
      </c>
      <c r="G43" s="1394" t="s">
        <v>429</v>
      </c>
      <c r="H43" s="1394" t="s">
        <v>430</v>
      </c>
      <c r="I43" s="1394" t="s">
        <v>431</v>
      </c>
      <c r="J43" s="1394" t="s">
        <v>432</v>
      </c>
      <c r="K43" s="1394" t="s">
        <v>433</v>
      </c>
      <c r="L43" s="1394" t="s">
        <v>408</v>
      </c>
      <c r="Q43" s="279"/>
      <c r="R43" s="377"/>
      <c r="S43" s="2125"/>
      <c r="T43" s="2062"/>
      <c r="U43" s="290"/>
      <c r="V43" s="1360" t="s">
        <v>467</v>
      </c>
      <c r="W43" s="1360" t="s">
        <v>468</v>
      </c>
      <c r="X43" s="1368" t="s">
        <v>436</v>
      </c>
      <c r="Y43" s="2121" t="s">
        <v>437</v>
      </c>
      <c r="Z43" s="2122"/>
      <c r="AA43" s="2191"/>
      <c r="AB43" s="2177"/>
      <c r="AC43" s="2178"/>
      <c r="AD43" s="2178"/>
      <c r="AE43" s="2179"/>
      <c r="AF43" s="2178"/>
      <c r="AG43" s="2178"/>
      <c r="AH43" s="2178"/>
      <c r="AI43" s="2179"/>
      <c r="AJ43" s="2177"/>
      <c r="AK43" s="2178"/>
      <c r="AL43" s="2178"/>
      <c r="AM43" s="2179"/>
      <c r="AN43" s="1903" t="s">
        <v>467</v>
      </c>
      <c r="AO43" s="1903" t="s">
        <v>468</v>
      </c>
      <c r="AP43" s="1368" t="s">
        <v>436</v>
      </c>
      <c r="AQ43" s="2121" t="s">
        <v>437</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389</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391</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393</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2" customFormat="1" customHeight="1" ht="0">
      <c r="A49" s="1373" t="s">
        <v>196</v>
      </c>
      <c r="B49" s="1373" t="s">
        <v>197</v>
      </c>
      <c r="C49" s="1373" t="s">
        <v>198</v>
      </c>
      <c r="D49" s="1373" t="s">
        <v>199</v>
      </c>
      <c r="E49" s="2108"/>
      <c r="F49" s="2108"/>
      <c r="G49" s="2108"/>
      <c r="H49" s="2108"/>
      <c r="I49" s="2109" t="str">
        <f>S48&amp;".1"</f>
        <v>....1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469</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453</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454</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8"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8"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254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255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8"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256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12E8F-30CE-B94D-8FE4-B0096A9E430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4.140625" hidden="1" customWidth="1"/>
    <col min="10" max="10" style="3327" width="9.8515625" hidden="1" customWidth="1"/>
    <col min="11" max="11" style="3327" width="14.7109375" hidden="1" customWidth="1"/>
    <col min="12" max="12" style="3565" width="19.140625" hidden="1" customWidth="1"/>
    <col min="13" max="14" style="3329" width="12.28125" hidden="1" customWidth="1"/>
    <col min="15" max="15" style="3329" width="23.421875" hidden="1" customWidth="1"/>
    <col min="16" max="16" style="3575" width="3.7109375" customWidth="1"/>
    <col min="17" max="18" style="3406" width="3.7109375" customWidth="1"/>
    <col min="19" max="19" style="3407"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254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7"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327" customFormat="1" customHeight="1" ht="14.25" hidden="1">
      <c r="L19" s="1451"/>
      <c r="M19" s="1392"/>
      <c r="N19" s="1392"/>
      <c r="O19" s="1392"/>
      <c r="P19" s="1392"/>
      <c r="Q19" s="1401"/>
      <c r="R19" s="1401"/>
      <c r="S19" s="735"/>
      <c r="AB19" s="1396"/>
      <c r="AI19" s="1396"/>
      <c r="AL19" s="517"/>
      <c r="AM19" s="517"/>
      <c r="AN19" s="517"/>
      <c r="AO19" s="517"/>
      <c r="AP19" s="517"/>
    </row>
    <row s="3327"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0"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45275.50763888889</v>
      </c>
      <c r="W28" s="2099"/>
      <c r="X28" s="2099"/>
      <c r="Y28" s="2099"/>
      <c r="Z28" s="2099"/>
      <c r="AA28" s="2099"/>
      <c r="AB28" s="322"/>
      <c r="AC28" s="2099" t="str">
        <f>IF(TITLE_DATE_PR_CHANGE="",IF(TITLE_DATE_PR="","",TITLE_DATE_PR),TITLE_DATE_PR_CHANGE)</f>
        <v>45275.50763888889</v>
      </c>
      <c r="AD28" s="2099"/>
      <c r="AE28" s="2099"/>
      <c r="AF28" s="2099"/>
      <c r="AG28" s="2099"/>
      <c r="AH28" s="2099"/>
      <c r="AI28" s="322"/>
      <c r="AJ28" s="322"/>
      <c r="AK28" s="268"/>
      <c r="AL28" s="368"/>
      <c r="AM28" s="368"/>
      <c r="AN28" s="368"/>
      <c r="AO28" s="368"/>
      <c r="AP28" s="368"/>
    </row>
    <row s="3340"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45275.50763888889</v>
      </c>
      <c r="W32" s="2099"/>
      <c r="X32" s="2099"/>
      <c r="Y32" s="2099"/>
      <c r="Z32" s="2099"/>
      <c r="AA32" s="2099"/>
      <c r="AB32" s="322"/>
      <c r="AC32" s="2099" t="str">
        <f>IF(TITLE_DATE_PR_CHANGE="",IF(TITLE_DATE_PR="","",TITLE_DATE_PR),TITLE_DATE_PR_CHANGE)</f>
        <v>45275.50763888889</v>
      </c>
      <c r="AD32" s="2099"/>
      <c r="AE32" s="2099"/>
      <c r="AF32" s="2099"/>
      <c r="AG32" s="2099"/>
      <c r="AH32" s="2099"/>
      <c r="AI32" s="322"/>
      <c r="AJ32" s="322"/>
      <c r="AK32" s="268"/>
      <c r="AL32" s="368"/>
      <c r="AM32" s="368"/>
      <c r="AN32" s="368"/>
      <c r="AO32" s="368"/>
      <c r="AP32" s="368"/>
    </row>
    <row s="3340"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478</v>
      </c>
      <c r="W38" s="2118" t="s">
        <v>425</v>
      </c>
      <c r="X38" s="2120"/>
      <c r="Y38" s="2118" t="s">
        <v>426</v>
      </c>
      <c r="Z38" s="2119"/>
      <c r="AA38" s="2120"/>
      <c r="AB38" s="2130"/>
      <c r="AC38" s="1382" t="s">
        <v>478</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479</v>
      </c>
      <c r="J39" s="1394" t="s">
        <v>432</v>
      </c>
      <c r="K39" s="1394" t="s">
        <v>480</v>
      </c>
      <c r="L39" s="1394" t="s">
        <v>408</v>
      </c>
      <c r="Q39" s="377"/>
      <c r="R39" s="377"/>
      <c r="S39" s="2125"/>
      <c r="T39" s="2062"/>
      <c r="U39" s="290"/>
      <c r="V39" s="1382" t="s">
        <v>481</v>
      </c>
      <c r="W39" s="1237" t="s">
        <v>482</v>
      </c>
      <c r="X39" s="1237" t="s">
        <v>483</v>
      </c>
      <c r="Y39" s="1387" t="s">
        <v>436</v>
      </c>
      <c r="Z39" s="2121" t="s">
        <v>437</v>
      </c>
      <c r="AA39" s="2122"/>
      <c r="AB39" s="2131"/>
      <c r="AC39" s="1382" t="s">
        <v>481</v>
      </c>
      <c r="AD39" s="1237" t="s">
        <v>482</v>
      </c>
      <c r="AE39" s="1237" t="s">
        <v>483</v>
      </c>
      <c r="AF39" s="1387"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210</v>
      </c>
      <c r="B42" s="1393" t="s">
        <v>211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210</v>
      </c>
      <c r="B43" s="1393" t="s">
        <v>211</v>
      </c>
      <c r="C43" s="1393" t="s">
        <v>212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210</v>
      </c>
      <c r="B44" s="1393" t="s">
        <v>211</v>
      </c>
      <c r="C44" s="1393" t="s">
        <v>212</v>
      </c>
      <c r="D44" s="1393" t="s">
        <v>484</v>
      </c>
      <c r="E44" s="2108"/>
      <c r="F44" s="2108"/>
      <c r="G44" s="2108"/>
      <c r="H44" s="2108"/>
      <c r="I44" s="2109" t="str">
        <f>S43&amp;".1"</f>
        <v>...1</v>
      </c>
      <c r="J44" s="1393"/>
      <c r="K44" s="1393"/>
      <c r="L44" s="1394"/>
      <c r="P44" s="2111">
        <v>1</v>
      </c>
      <c r="Q44" s="1384"/>
      <c r="R44" s="352"/>
      <c r="S44" s="1388"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210</v>
      </c>
      <c r="B45" s="1393" t="s">
        <v>211</v>
      </c>
      <c r="C45" s="1393" t="s">
        <v>212</v>
      </c>
      <c r="D45" s="1393" t="s">
        <v>484</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210</v>
      </c>
      <c r="B46" s="1393" t="s">
        <v>211</v>
      </c>
      <c r="C46" s="1393" t="s">
        <v>212</v>
      </c>
      <c r="D46" s="1393" t="s">
        <v>484</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210</v>
      </c>
      <c r="B47" s="1393" t="s">
        <v>211</v>
      </c>
      <c r="C47" s="1393" t="s">
        <v>212</v>
      </c>
      <c r="D47" s="1393" t="s">
        <v>484</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210</v>
      </c>
      <c r="B48" s="1393" t="s">
        <v>211</v>
      </c>
      <c r="C48" s="1393" t="s">
        <v>212</v>
      </c>
      <c r="D48" s="1393" t="s">
        <v>484</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210</v>
      </c>
      <c r="B49" s="1393" t="s">
        <v>211</v>
      </c>
      <c r="C49" s="1393" t="s">
        <v>212</v>
      </c>
      <c r="D49" s="1393" t="s">
        <v>484</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210</v>
      </c>
      <c r="B50" s="1393" t="s">
        <v>211</v>
      </c>
      <c r="C50" s="1393" t="s">
        <v>212</v>
      </c>
      <c r="D50" s="1393" t="s">
        <v>484</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210</v>
      </c>
      <c r="B51" s="1373" t="s">
        <v>211</v>
      </c>
      <c r="C51" s="1344"/>
      <c r="D51" s="1344"/>
      <c r="E51" s="2108"/>
      <c r="F51" s="2107"/>
      <c r="G51" s="1344"/>
      <c r="H51" s="1344"/>
      <c r="I51" s="1344"/>
      <c r="J51" s="1344"/>
      <c r="K51" s="1344"/>
      <c r="L51" s="1456"/>
      <c r="M51" s="1351"/>
      <c r="N51" s="1351"/>
      <c r="P51" s="1346"/>
      <c r="Q51" s="1347"/>
      <c r="R51" s="1346"/>
      <c r="S51" s="1352"/>
      <c r="T51" s="1355" t="s">
        <v>254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210</v>
      </c>
      <c r="B52" s="1373"/>
      <c r="C52" s="1373"/>
      <c r="D52" s="1373"/>
      <c r="E52" s="2107"/>
      <c r="F52" s="1373"/>
      <c r="G52" s="1373"/>
      <c r="H52" s="1373"/>
      <c r="I52" s="1373"/>
      <c r="J52" s="1373"/>
      <c r="K52" s="1373"/>
      <c r="L52" s="1376"/>
      <c r="M52" s="1351"/>
      <c r="N52" s="1351"/>
      <c r="O52" s="524"/>
      <c r="P52" s="385"/>
      <c r="Q52" s="1374"/>
      <c r="R52" s="385"/>
      <c r="S52" s="1352"/>
      <c r="T52" s="1355" t="s">
        <v>255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256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7ADDE-C032-81F8-E629-88E08A874E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4.140625" hidden="1" customWidth="1"/>
    <col min="10" max="10" style="3327" width="9.8515625" hidden="1" customWidth="1"/>
    <col min="11" max="11" style="3327" width="14.7109375" hidden="1" customWidth="1"/>
    <col min="12" max="12" style="3581" width="19.140625" hidden="1" customWidth="1"/>
    <col min="13" max="14" style="3329" width="12.28125" hidden="1" customWidth="1"/>
    <col min="15" max="15" style="3329" width="23.421875" hidden="1" customWidth="1"/>
    <col min="16" max="16" style="3586" width="3.7109375" customWidth="1"/>
    <col min="17" max="18" style="3406" width="3.7109375" customWidth="1"/>
    <col min="19" max="19" style="3407"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7"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327" customFormat="1" customHeight="1" ht="14.25" hidden="1">
      <c r="L19" s="1477"/>
      <c r="M19" s="1392"/>
      <c r="N19" s="1392"/>
      <c r="O19" s="1392"/>
      <c r="P19" s="1392"/>
      <c r="Q19" s="1401"/>
      <c r="R19" s="1401"/>
      <c r="S19" s="735"/>
      <c r="AB19" s="1396"/>
      <c r="AI19" s="1396"/>
      <c r="AL19" s="517"/>
      <c r="AM19" s="517"/>
      <c r="AN19" s="517"/>
      <c r="AO19" s="517"/>
      <c r="AP19" s="517"/>
    </row>
    <row s="3327"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0"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45275.50763888889</v>
      </c>
      <c r="W28" s="2099"/>
      <c r="X28" s="2099"/>
      <c r="Y28" s="2099"/>
      <c r="Z28" s="2099"/>
      <c r="AA28" s="2099"/>
      <c r="AB28" s="322"/>
      <c r="AC28" s="2099" t="str">
        <f>IF(TITLE_DATE_PR_CHANGE="",IF(TITLE_DATE_PR="","",TITLE_DATE_PR),TITLE_DATE_PR_CHANGE)</f>
        <v>45275.50763888889</v>
      </c>
      <c r="AD28" s="2099"/>
      <c r="AE28" s="2099"/>
      <c r="AF28" s="2099"/>
      <c r="AG28" s="2099"/>
      <c r="AH28" s="2099"/>
      <c r="AI28" s="322"/>
      <c r="AJ28" s="322"/>
      <c r="AK28" s="268"/>
      <c r="AL28" s="368"/>
      <c r="AM28" s="368"/>
      <c r="AN28" s="368"/>
      <c r="AO28" s="368"/>
      <c r="AP28" s="368"/>
    </row>
    <row s="3340"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45275.50763888889</v>
      </c>
      <c r="W32" s="2099"/>
      <c r="X32" s="2099"/>
      <c r="Y32" s="2099"/>
      <c r="Z32" s="2099"/>
      <c r="AA32" s="2099"/>
      <c r="AB32" s="322"/>
      <c r="AC32" s="2099" t="str">
        <f>IF(TITLE_DATE_PR_CHANGE="",IF(TITLE_DATE_PR="","",TITLE_DATE_PR),TITLE_DATE_PR_CHANGE)</f>
        <v>45275.50763888889</v>
      </c>
      <c r="AD32" s="2099"/>
      <c r="AE32" s="2099"/>
      <c r="AF32" s="2099"/>
      <c r="AG32" s="2099"/>
      <c r="AH32" s="2099"/>
      <c r="AI32" s="322"/>
      <c r="AJ32" s="322"/>
      <c r="AK32" s="268"/>
      <c r="AL32" s="368"/>
      <c r="AM32" s="368"/>
      <c r="AN32" s="368"/>
      <c r="AO32" s="368"/>
      <c r="AP32" s="368"/>
    </row>
    <row s="3340"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478</v>
      </c>
      <c r="W38" s="2118" t="s">
        <v>425</v>
      </c>
      <c r="X38" s="2120"/>
      <c r="Y38" s="2118" t="s">
        <v>426</v>
      </c>
      <c r="Z38" s="2119"/>
      <c r="AA38" s="2120"/>
      <c r="AB38" s="2130"/>
      <c r="AC38" s="1482" t="s">
        <v>478</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479</v>
      </c>
      <c r="J39" s="1394" t="s">
        <v>432</v>
      </c>
      <c r="K39" s="1394" t="s">
        <v>480</v>
      </c>
      <c r="L39" s="1394" t="s">
        <v>408</v>
      </c>
      <c r="Q39" s="377"/>
      <c r="R39" s="377"/>
      <c r="S39" s="2125"/>
      <c r="T39" s="2062"/>
      <c r="U39" s="290"/>
      <c r="V39" s="1482" t="s">
        <v>481</v>
      </c>
      <c r="W39" s="1237" t="s">
        <v>482</v>
      </c>
      <c r="X39" s="1237" t="s">
        <v>483</v>
      </c>
      <c r="Y39" s="1485" t="s">
        <v>436</v>
      </c>
      <c r="Z39" s="2121" t="s">
        <v>437</v>
      </c>
      <c r="AA39" s="2122"/>
      <c r="AB39" s="2131"/>
      <c r="AC39" s="1482" t="s">
        <v>481</v>
      </c>
      <c r="AD39" s="1237" t="s">
        <v>482</v>
      </c>
      <c r="AE39" s="1237" t="s">
        <v>483</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485</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215</v>
      </c>
      <c r="B45" s="1393" t="s">
        <v>216</v>
      </c>
      <c r="C45" s="1393" t="s">
        <v>217</v>
      </c>
      <c r="D45" s="1393" t="s">
        <v>485</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215</v>
      </c>
      <c r="B46" s="1393" t="s">
        <v>216</v>
      </c>
      <c r="C46" s="1393" t="s">
        <v>217</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485</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215</v>
      </c>
      <c r="B49" s="1393" t="s">
        <v>216</v>
      </c>
      <c r="C49" s="1393" t="s">
        <v>217</v>
      </c>
      <c r="D49" s="1393" t="s">
        <v>485</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485</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215</v>
      </c>
      <c r="B51" s="1373" t="s">
        <v>216</v>
      </c>
      <c r="C51" s="1344"/>
      <c r="D51" s="1344"/>
      <c r="E51" s="2108"/>
      <c r="F51" s="2107"/>
      <c r="G51" s="1344"/>
      <c r="H51" s="1344"/>
      <c r="I51" s="1344"/>
      <c r="J51" s="1344"/>
      <c r="K51" s="1344"/>
      <c r="L51" s="1488"/>
      <c r="M51" s="1351"/>
      <c r="N51" s="1351"/>
      <c r="P51" s="1346"/>
      <c r="Q51" s="1347"/>
      <c r="R51" s="1346"/>
      <c r="S51" s="1352"/>
      <c r="T51" s="1355" t="s">
        <v>254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255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0517E-9D4B-6F0B-83EC-2BE6A97252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4.140625" hidden="1" customWidth="1"/>
    <col min="10" max="10" style="3327" width="9.8515625" hidden="1" customWidth="1"/>
    <col min="11" max="11" style="3327" width="14.7109375" hidden="1" customWidth="1"/>
    <col min="12" max="12" style="3581" width="19.140625" hidden="1" customWidth="1"/>
    <col min="13" max="14" style="3329" width="12.28125" hidden="1" customWidth="1"/>
    <col min="15" max="15" style="3329" width="23.421875" hidden="1" customWidth="1"/>
    <col min="16" max="16" style="3586" width="3.7109375" customWidth="1"/>
    <col min="17" max="18" style="3406" width="3.7109375" customWidth="1"/>
    <col min="19" max="19" style="3407"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7"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327" customFormat="1" customHeight="1" ht="14.25" hidden="1">
      <c r="L19" s="1477"/>
      <c r="M19" s="1392"/>
      <c r="N19" s="1392"/>
      <c r="O19" s="1392"/>
      <c r="P19" s="1392"/>
      <c r="Q19" s="1401"/>
      <c r="R19" s="1401"/>
      <c r="S19" s="735"/>
      <c r="AB19" s="1396"/>
      <c r="AI19" s="1396"/>
      <c r="AL19" s="517"/>
      <c r="AM19" s="517"/>
      <c r="AN19" s="517"/>
      <c r="AO19" s="517"/>
      <c r="AP19" s="517"/>
    </row>
    <row s="3327"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0"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45275.50763888889</v>
      </c>
      <c r="W28" s="2099"/>
      <c r="X28" s="2099"/>
      <c r="Y28" s="2099"/>
      <c r="Z28" s="2099"/>
      <c r="AA28" s="2099"/>
      <c r="AB28" s="322"/>
      <c r="AC28" s="2099" t="str">
        <f>IF(TITLE_DATE_PR_CHANGE="",IF(TITLE_DATE_PR="","",TITLE_DATE_PR),TITLE_DATE_PR_CHANGE)</f>
        <v>45275.50763888889</v>
      </c>
      <c r="AD28" s="2099"/>
      <c r="AE28" s="2099"/>
      <c r="AF28" s="2099"/>
      <c r="AG28" s="2099"/>
      <c r="AH28" s="2099"/>
      <c r="AI28" s="322"/>
      <c r="AJ28" s="322"/>
      <c r="AK28" s="268"/>
      <c r="AL28" s="368"/>
      <c r="AM28" s="368"/>
      <c r="AN28" s="368"/>
      <c r="AO28" s="368"/>
      <c r="AP28" s="368"/>
    </row>
    <row s="3340"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45275.50763888889</v>
      </c>
      <c r="W32" s="2099"/>
      <c r="X32" s="2099"/>
      <c r="Y32" s="2099"/>
      <c r="Z32" s="2099"/>
      <c r="AA32" s="2099"/>
      <c r="AB32" s="322"/>
      <c r="AC32" s="2099" t="str">
        <f>IF(TITLE_DATE_PR_CHANGE="",IF(TITLE_DATE_PR="","",TITLE_DATE_PR),TITLE_DATE_PR_CHANGE)</f>
        <v>45275.50763888889</v>
      </c>
      <c r="AD32" s="2099"/>
      <c r="AE32" s="2099"/>
      <c r="AF32" s="2099"/>
      <c r="AG32" s="2099"/>
      <c r="AH32" s="2099"/>
      <c r="AI32" s="322"/>
      <c r="AJ32" s="322"/>
      <c r="AK32" s="268"/>
      <c r="AL32" s="368"/>
      <c r="AM32" s="368"/>
      <c r="AN32" s="368"/>
      <c r="AO32" s="368"/>
      <c r="AP32" s="368"/>
    </row>
    <row s="3340"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478</v>
      </c>
      <c r="W38" s="2118" t="s">
        <v>425</v>
      </c>
      <c r="X38" s="2120"/>
      <c r="Y38" s="2118" t="s">
        <v>426</v>
      </c>
      <c r="Z38" s="2119"/>
      <c r="AA38" s="2120"/>
      <c r="AB38" s="2130"/>
      <c r="AC38" s="1482" t="s">
        <v>478</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479</v>
      </c>
      <c r="J39" s="1394" t="s">
        <v>432</v>
      </c>
      <c r="K39" s="1394" t="s">
        <v>480</v>
      </c>
      <c r="L39" s="1394" t="s">
        <v>408</v>
      </c>
      <c r="Q39" s="377"/>
      <c r="R39" s="377"/>
      <c r="S39" s="2125"/>
      <c r="T39" s="2062"/>
      <c r="U39" s="290"/>
      <c r="V39" s="1482" t="s">
        <v>481</v>
      </c>
      <c r="W39" s="1237" t="s">
        <v>482</v>
      </c>
      <c r="X39" s="1237" t="s">
        <v>483</v>
      </c>
      <c r="Y39" s="1485" t="s">
        <v>436</v>
      </c>
      <c r="Z39" s="2121" t="s">
        <v>437</v>
      </c>
      <c r="AA39" s="2122"/>
      <c r="AB39" s="2131"/>
      <c r="AC39" s="1482" t="s">
        <v>481</v>
      </c>
      <c r="AD39" s="1237" t="s">
        <v>482</v>
      </c>
      <c r="AE39" s="1237" t="s">
        <v>483</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486</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220</v>
      </c>
      <c r="B45" s="1393" t="s">
        <v>221</v>
      </c>
      <c r="C45" s="1393" t="s">
        <v>222</v>
      </c>
      <c r="D45" s="1393" t="s">
        <v>486</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220</v>
      </c>
      <c r="B46" s="1393" t="s">
        <v>221</v>
      </c>
      <c r="C46" s="1393" t="s">
        <v>222</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486</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220</v>
      </c>
      <c r="B49" s="1393" t="s">
        <v>221</v>
      </c>
      <c r="C49" s="1393" t="s">
        <v>222</v>
      </c>
      <c r="D49" s="1393" t="s">
        <v>486</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486</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254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255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F7EC9-F64D-84F5-364B-69ABEEDA42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4.140625" hidden="1" customWidth="1"/>
    <col min="10" max="10" style="3327" width="9.8515625" hidden="1" customWidth="1"/>
    <col min="11" max="11" style="3327" width="14.7109375" hidden="1" customWidth="1"/>
    <col min="12" max="12" style="3581" width="19.140625" hidden="1" customWidth="1"/>
    <col min="13" max="14" style="3329" width="12.28125" hidden="1" customWidth="1"/>
    <col min="15" max="15" style="3329" width="23.421875" hidden="1" customWidth="1"/>
    <col min="16" max="16" style="3586" width="3.7109375" customWidth="1"/>
    <col min="17" max="18" style="3406" width="3.7109375" customWidth="1"/>
    <col min="19" max="19" style="3407"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7"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327" customFormat="1" customHeight="1" ht="14.25" hidden="1">
      <c r="L19" s="1477"/>
      <c r="M19" s="1392"/>
      <c r="N19" s="1392"/>
      <c r="O19" s="1392"/>
      <c r="P19" s="1392"/>
      <c r="Q19" s="1401"/>
      <c r="R19" s="1401"/>
      <c r="S19" s="735"/>
      <c r="AB19" s="1396"/>
      <c r="AI19" s="1396"/>
      <c r="AL19" s="517"/>
      <c r="AM19" s="517"/>
      <c r="AN19" s="517"/>
      <c r="AO19" s="517"/>
      <c r="AP19" s="517"/>
    </row>
    <row s="3327"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0"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45275.50763888889</v>
      </c>
      <c r="W28" s="2099"/>
      <c r="X28" s="2099"/>
      <c r="Y28" s="2099"/>
      <c r="Z28" s="2099"/>
      <c r="AA28" s="2099"/>
      <c r="AB28" s="322"/>
      <c r="AC28" s="2099" t="str">
        <f>IF(TITLE_DATE_PR_CHANGE="",IF(TITLE_DATE_PR="","",TITLE_DATE_PR),TITLE_DATE_PR_CHANGE)</f>
        <v>45275.50763888889</v>
      </c>
      <c r="AD28" s="2099"/>
      <c r="AE28" s="2099"/>
      <c r="AF28" s="2099"/>
      <c r="AG28" s="2099"/>
      <c r="AH28" s="2099"/>
      <c r="AI28" s="322"/>
      <c r="AJ28" s="322"/>
      <c r="AK28" s="268"/>
      <c r="AL28" s="368"/>
      <c r="AM28" s="368"/>
      <c r="AN28" s="368"/>
      <c r="AO28" s="368"/>
      <c r="AP28" s="368"/>
    </row>
    <row s="3340"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45275.50763888889</v>
      </c>
      <c r="W32" s="2099"/>
      <c r="X32" s="2099"/>
      <c r="Y32" s="2099"/>
      <c r="Z32" s="2099"/>
      <c r="AA32" s="2099"/>
      <c r="AB32" s="322"/>
      <c r="AC32" s="2099" t="str">
        <f>IF(TITLE_DATE_PR_CHANGE="",IF(TITLE_DATE_PR="","",TITLE_DATE_PR),TITLE_DATE_PR_CHANGE)</f>
        <v>45275.50763888889</v>
      </c>
      <c r="AD32" s="2099"/>
      <c r="AE32" s="2099"/>
      <c r="AF32" s="2099"/>
      <c r="AG32" s="2099"/>
      <c r="AH32" s="2099"/>
      <c r="AI32" s="322"/>
      <c r="AJ32" s="322"/>
      <c r="AK32" s="268"/>
      <c r="AL32" s="368"/>
      <c r="AM32" s="368"/>
      <c r="AN32" s="368"/>
      <c r="AO32" s="368"/>
      <c r="AP32" s="368"/>
    </row>
    <row s="3340"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478</v>
      </c>
      <c r="W38" s="2118" t="s">
        <v>425</v>
      </c>
      <c r="X38" s="2120"/>
      <c r="Y38" s="2118" t="s">
        <v>426</v>
      </c>
      <c r="Z38" s="2119"/>
      <c r="AA38" s="2120"/>
      <c r="AB38" s="2130"/>
      <c r="AC38" s="1482" t="s">
        <v>478</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479</v>
      </c>
      <c r="J39" s="1394" t="s">
        <v>432</v>
      </c>
      <c r="K39" s="1394" t="s">
        <v>480</v>
      </c>
      <c r="L39" s="1394" t="s">
        <v>408</v>
      </c>
      <c r="Q39" s="377"/>
      <c r="R39" s="377"/>
      <c r="S39" s="2125"/>
      <c r="T39" s="2062"/>
      <c r="U39" s="290"/>
      <c r="V39" s="1482" t="s">
        <v>481</v>
      </c>
      <c r="W39" s="1237" t="s">
        <v>482</v>
      </c>
      <c r="X39" s="1237" t="s">
        <v>483</v>
      </c>
      <c r="Y39" s="1485" t="s">
        <v>436</v>
      </c>
      <c r="Z39" s="2121" t="s">
        <v>437</v>
      </c>
      <c r="AA39" s="2122"/>
      <c r="AB39" s="2131"/>
      <c r="AC39" s="1482" t="s">
        <v>481</v>
      </c>
      <c r="AD39" s="1237" t="s">
        <v>482</v>
      </c>
      <c r="AE39" s="1237" t="s">
        <v>483</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471</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487</v>
      </c>
      <c r="E44" s="2108"/>
      <c r="F44" s="2108"/>
      <c r="G44" s="2108"/>
      <c r="H44" s="2108"/>
      <c r="I44" s="2109" t="str">
        <f>S43&amp;".1"</f>
        <v>...1</v>
      </c>
      <c r="J44" s="1393"/>
      <c r="K44" s="1393"/>
      <c r="L44" s="1394"/>
      <c r="P44" s="2111">
        <v>1</v>
      </c>
      <c r="Q44" s="1480"/>
      <c r="R44" s="352"/>
      <c r="S44" s="1487"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225</v>
      </c>
      <c r="B45" s="1393" t="s">
        <v>226</v>
      </c>
      <c r="C45" s="1393" t="s">
        <v>227</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225</v>
      </c>
      <c r="B46" s="1393" t="s">
        <v>226</v>
      </c>
      <c r="C46" s="1393" t="s">
        <v>227</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487</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225</v>
      </c>
      <c r="B49" s="1393" t="s">
        <v>226</v>
      </c>
      <c r="C49" s="1393" t="s">
        <v>227</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487</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254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255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5FAF6-971D-438E-D7F1-837812E5E9D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27" width="11.57421875" hidden="1" customWidth="1"/>
    <col min="2" max="2" style="3327" width="11.00390625" hidden="1" customWidth="1"/>
    <col min="3" max="3" style="3327" width="10.57421875" hidden="1"/>
    <col min="4" max="4" style="3327" width="12.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608"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5" width="32.00390625" customWidth="1"/>
    <col min="21" max="21" style="2975" width="0.140625" customWidth="1"/>
    <col min="22" max="25" style="2975" width="21.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2" style="2975" width="3.7109375" customWidth="1"/>
    <col min="33" max="33" style="2975" width="24.7109375" customWidth="1"/>
    <col min="34" max="36" style="2975" width="3.7109375" customWidth="1"/>
    <col min="37" max="37" style="2975" width="24.7109375" customWidth="1"/>
    <col min="38" max="40" style="2975" width="3.7109375" customWidth="1"/>
    <col min="41" max="41" style="2975" width="18.8515625" customWidth="1"/>
    <col min="42" max="44" style="2975" width="3.7109375" customWidth="1"/>
    <col min="45" max="45" style="2975" width="18.8515625" customWidth="1"/>
    <col min="46" max="49" style="2975" width="21.7109375" customWidth="1"/>
    <col min="50" max="50" style="2975" width="11.7109375" customWidth="1"/>
    <col min="51" max="51" style="2975" width="3.7109375" customWidth="1"/>
    <col min="52" max="52" style="2975" width="11.7109375" customWidth="1"/>
    <col min="53" max="53" style="2975" width="8.57421875" hidden="1" customWidth="1"/>
    <col min="54" max="54" style="2975" width="4.7109375" customWidth="1"/>
    <col min="55" max="55" style="2975"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471</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8"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8"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254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3" customFormat="1" customHeight="1" ht="14.25" hidden="1">
      <c r="M24" s="1538"/>
      <c r="N24" s="1538"/>
      <c r="O24" s="1539" t="s">
        <v>408</v>
      </c>
      <c r="P24" s="1538"/>
      <c r="Q24" s="1540"/>
      <c r="R24" s="1540"/>
      <c r="AA24" s="1537" t="s">
        <v>410</v>
      </c>
      <c r="AC24" s="1537" t="s">
        <v>411</v>
      </c>
      <c r="AD24" s="1537" t="s">
        <v>457</v>
      </c>
      <c r="AH24" s="1537" t="s">
        <v>457</v>
      </c>
      <c r="AK24" s="1537" t="s">
        <v>493</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0"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промышленности, экономического развития и торговли Республики Марий Эл</v>
      </c>
      <c r="W31" s="2100"/>
      <c r="X31" s="2100"/>
      <c r="Y31" s="2100"/>
      <c r="Z31" s="2100"/>
      <c r="AA31" s="2100"/>
      <c r="AB31" s="2100"/>
      <c r="AC31" s="322"/>
      <c r="AD31" s="2100" t="str">
        <f>IF(TITLE_NAME_OR_PR_CHANGE="",IF(TITLE_NAME_OR_PR="","",TITLE_NAME_OR_PR),TITLE_NAME_OR_PR_CHANGE)</f>
        <v>Министерство промышленности, экономического развития и торговли Республики Марий Эл</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0"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45275.50763888889</v>
      </c>
      <c r="W32" s="2099"/>
      <c r="X32" s="2099"/>
      <c r="Y32" s="2099"/>
      <c r="Z32" s="2099"/>
      <c r="AA32" s="2099"/>
      <c r="AB32" s="2099"/>
      <c r="AC32" s="322"/>
      <c r="AD32" s="2099" t="str">
        <f>IF(TITLE_DATE_PR_CHANGE="",IF(TITLE_DATE_PR="","",TITLE_DATE_PR),TITLE_DATE_PR_CHANGE)</f>
        <v>45275.50763888889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0"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52т, 102т</v>
      </c>
      <c r="W33" s="2100"/>
      <c r="X33" s="2100"/>
      <c r="Y33" s="2100"/>
      <c r="Z33" s="2100"/>
      <c r="AA33" s="2100"/>
      <c r="AB33" s="2100"/>
      <c r="AC33" s="322"/>
      <c r="AD33" s="2100" t="str">
        <f>IF(TITLE_NUMBER_PR_CHANGE="",IF(TITLE_NUMBER_PR="","",TITLE_NUMBER_PR),TITLE_NUMBER_PR_CHANGE)</f>
        <v>52т, 102т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0"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https://mari-el.gov.ru/ministries/mecon/tarif/pages/resheniya-ob-ustanovlenii-tarifov-vodosnabzhenie-vodootvedenie-utilizatsiya-tbo/#close</v>
      </c>
      <c r="W34" s="2100"/>
      <c r="X34" s="2100"/>
      <c r="Y34" s="2100"/>
      <c r="Z34" s="2100"/>
      <c r="AA34" s="2100"/>
      <c r="AB34" s="2100"/>
      <c r="AC34" s="322"/>
      <c r="AD34" s="2100" t="str">
        <f>IF(TITLE_IST_PUB_CHANGE="",IF(TITLE_IST_PUB="","",TITLE_IST_PUB),TITLE_IST_PUB_CHANGE)</f>
        <v>https://mari-el.gov.ru/ministries/mecon/tarif/pages/resheniya-ob-ustanovlenii-tarifov-vodosnabzhenie-vodootvedenie-utilizatsiya-tbo/#close</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0"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45275.50763888889</v>
      </c>
      <c r="W36" s="2099"/>
      <c r="X36" s="2099"/>
      <c r="Y36" s="2099"/>
      <c r="Z36" s="2099"/>
      <c r="AA36" s="2099"/>
      <c r="AB36" s="2099"/>
      <c r="AC36" s="322"/>
      <c r="AD36" s="2099" t="str">
        <f>IF(TITLE_DATE_PR_CHANGE="",IF(TITLE_DATE_PR="","",TITLE_DATE_PR),TITLE_DATE_PR_CHANGE)</f>
        <v>45275.50763888889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0"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52т, 102т</v>
      </c>
      <c r="W37" s="2100"/>
      <c r="X37" s="2100"/>
      <c r="Y37" s="2100"/>
      <c r="Z37" s="2100"/>
      <c r="AA37" s="2100"/>
      <c r="AB37" s="2100"/>
      <c r="AC37" s="322"/>
      <c r="AD37" s="2100" t="str">
        <f>IF(TITLE_NUMBER_PR_CHANGE="",IF(TITLE_NUMBER_PR="","",TITLE_NUMBER_PR),TITLE_NUMBER_PR_CHANGE)</f>
        <v>52т, 102т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494</v>
      </c>
      <c r="U41" s="289"/>
      <c r="V41" s="2126" t="s">
        <v>419</v>
      </c>
      <c r="W41" s="2127"/>
      <c r="X41" s="2127"/>
      <c r="Y41" s="2127"/>
      <c r="Z41" s="2127"/>
      <c r="AA41" s="2127"/>
      <c r="AB41" s="2128"/>
      <c r="AC41" s="2129" t="s">
        <v>420</v>
      </c>
      <c r="AD41" s="2173" t="s">
        <v>495</v>
      </c>
      <c r="AE41" s="2146"/>
      <c r="AF41" s="2146"/>
      <c r="AG41" s="2174"/>
      <c r="AH41" s="2173" t="s">
        <v>496</v>
      </c>
      <c r="AI41" s="2146"/>
      <c r="AJ41" s="2146"/>
      <c r="AK41" s="2174"/>
      <c r="AL41" s="2173" t="s">
        <v>497</v>
      </c>
      <c r="AM41" s="2146"/>
      <c r="AN41" s="2146"/>
      <c r="AO41" s="2174"/>
      <c r="AP41" s="2173" t="s">
        <v>498</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499</v>
      </c>
      <c r="AU42" s="2030"/>
      <c r="AV42" s="2029" t="s">
        <v>500</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478" t="s">
        <v>467</v>
      </c>
      <c r="W44" s="1478" t="s">
        <v>468</v>
      </c>
      <c r="X44" s="1478" t="s">
        <v>467</v>
      </c>
      <c r="Y44" s="1478" t="s">
        <v>468</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230</v>
      </c>
      <c r="B47" s="1393" t="s">
        <v>231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230</v>
      </c>
      <c r="B48" s="1393" t="s">
        <v>231</v>
      </c>
      <c r="C48" s="1393" t="s">
        <v>232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471</v>
      </c>
      <c r="BE48" s="506"/>
      <c r="BF48" s="506" t="str">
        <f>IF(T48="","",T48)</f>
        <v>Наименование централизованной системы холодного водоснабжения</v>
      </c>
      <c r="BG48" s="506"/>
      <c r="BH48" s="506"/>
    </row>
    <row s="2612" customFormat="1" customHeight="1" ht="0">
      <c r="A49" s="1373" t="s">
        <v>230</v>
      </c>
      <c r="B49" s="1373" t="s">
        <v>231</v>
      </c>
      <c r="C49" s="1373" t="s">
        <v>232</v>
      </c>
      <c r="D49" s="1373" t="s">
        <v>502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230</v>
      </c>
      <c r="B50" s="1373" t="s">
        <v>231</v>
      </c>
      <c r="C50" s="1373" t="s">
        <v>232</v>
      </c>
      <c r="D50" s="1373" t="s">
        <v>502</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230</v>
      </c>
      <c r="B51" s="1373" t="s">
        <v>231</v>
      </c>
      <c r="C51" s="1373" t="s">
        <v>232</v>
      </c>
      <c r="D51" s="1373" t="s">
        <v>502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230</v>
      </c>
      <c r="B52" s="1393" t="s">
        <v>231</v>
      </c>
      <c r="C52" s="1393" t="s">
        <v>232</v>
      </c>
      <c r="D52" s="1393" t="s">
        <v>502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60</v>
      </c>
      <c r="AB52" s="1774"/>
      <c r="AC52" s="148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493">
        <v>1</v>
      </c>
      <c r="AS52" s="1496" t="s">
        <v>24</v>
      </c>
      <c r="AT52" s="757"/>
      <c r="AU52" s="1285"/>
      <c r="AV52" s="757"/>
      <c r="AW52" s="1285"/>
      <c r="AX52" s="1774"/>
      <c r="AY52" s="1489" t="s">
        <v>60</v>
      </c>
      <c r="AZ52" s="1774"/>
      <c r="BA52" s="1489" t="s">
        <v>60</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230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230</v>
      </c>
      <c r="B56" s="1393" t="s">
        <v>231</v>
      </c>
      <c r="C56" s="1393" t="s">
        <v>232</v>
      </c>
      <c r="D56" s="1393" t="s">
        <v>502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230</v>
      </c>
      <c r="B57" s="1393" t="s">
        <v>231</v>
      </c>
      <c r="C57" s="1393" t="s">
        <v>232</v>
      </c>
      <c r="D57" s="1393" t="s">
        <v>502</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230</v>
      </c>
      <c r="B58" s="1373" t="s">
        <v>231</v>
      </c>
      <c r="C58" s="1373" t="s">
        <v>232</v>
      </c>
      <c r="D58" s="1373" t="s">
        <v>502</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230</v>
      </c>
      <c r="B59" s="1373" t="s">
        <v>231</v>
      </c>
      <c r="C59" s="1373" t="s">
        <v>232</v>
      </c>
      <c r="D59" s="1373" t="s">
        <v>502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8" customFormat="1" customHeight="1" ht="0">
      <c r="A60" s="1373" t="s">
        <v>230</v>
      </c>
      <c r="B60" s="1373" t="s">
        <v>231</v>
      </c>
      <c r="C60" s="1373" t="s">
        <v>232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8" customFormat="1" customHeight="1" ht="0">
      <c r="A61" s="1373" t="s">
        <v>230</v>
      </c>
      <c r="B61" s="1373" t="s">
        <v>231</v>
      </c>
      <c r="C61" s="1344"/>
      <c r="D61" s="1344"/>
      <c r="E61" s="2108"/>
      <c r="F61" s="2107"/>
      <c r="G61" s="1344"/>
      <c r="H61" s="1344"/>
      <c r="I61" s="1344"/>
      <c r="J61" s="1344"/>
      <c r="K61" s="1344"/>
      <c r="L61" s="1494"/>
      <c r="M61" s="1351"/>
      <c r="N61" s="1351"/>
      <c r="P61" s="1346"/>
      <c r="Q61" s="1347"/>
      <c r="R61" s="1346"/>
      <c r="S61" s="1352"/>
      <c r="T61" s="1355" t="s">
        <v>254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230</v>
      </c>
      <c r="B62" s="1373"/>
      <c r="C62" s="1373"/>
      <c r="D62" s="1373"/>
      <c r="E62" s="2107"/>
      <c r="F62" s="1373"/>
      <c r="G62" s="1373"/>
      <c r="H62" s="1373"/>
      <c r="I62" s="1373"/>
      <c r="J62" s="1373"/>
      <c r="K62" s="1373"/>
      <c r="L62" s="1376"/>
      <c r="M62" s="1351"/>
      <c r="N62" s="1351"/>
      <c r="O62" s="524"/>
      <c r="P62" s="385"/>
      <c r="Q62" s="1374"/>
      <c r="R62" s="385"/>
      <c r="S62" s="1352"/>
      <c r="T62" s="1355" t="s">
        <v>255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8"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256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288C7-2A4F-3F0D-A48A-225DEB6D2F7E}" mc:Ignorable="x14ac xr xr2 xr3">
  <sheetPr>
    <tabColor theme="6" tint="0.4"/>
  </sheetPr>
  <dimension ref="A1:AW57"/>
  <sheetViews>
    <sheetView topLeftCell="A1" showGridLines="0" zoomScale="90" workbookViewId="0">
      <selection activeCell="AK49" sqref="AK49"/>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4.140625" hidden="1" customWidth="1"/>
    <col min="10" max="10" style="3327" width="9.8515625" hidden="1" customWidth="1"/>
    <col min="11" max="11" style="3327" width="14.7109375" hidden="1" customWidth="1"/>
    <col min="12" max="12" style="3653" width="19.140625" hidden="1" customWidth="1"/>
    <col min="13" max="14" style="3329" width="12.28125" hidden="1" customWidth="1"/>
    <col min="15" max="15" style="3329" width="23.421875" hidden="1" customWidth="1"/>
    <col min="16" max="16" style="3707" width="3.7109375" customWidth="1"/>
    <col min="17" max="18" style="3406" width="3.7109375" customWidth="1"/>
    <col min="19" max="19" style="3407"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customWidth="1"/>
    <col min="42" max="42" width="10.57421875" hidden="1"/>
    <col min="43" max="43" style="2975" width="4.7109375" customWidth="1"/>
    <col min="44" max="44" style="2975" width="115.7109375" customWidth="1"/>
    <col min="45" max="46" style="2612" width="10.57421875"/>
    <col min="47" max="47" style="2612" width="11.140625" customWidth="1"/>
    <col min="48" max="49" style="2612" width="10.57421875"/>
  </cols>
  <sheetData>
    <row customHeight="1" ht="14.25" hidden="1">
      <c r="X1" s="323"/>
      <c r="Y1" s="323"/>
      <c r="AE1" s="323"/>
      <c r="AF1" s="323"/>
      <c r="AJ1" s="3609"/>
      <c r="AK1" s="3609"/>
      <c r="AL1" s="3609"/>
      <c r="AM1" s="3609"/>
      <c r="AN1" s="3609"/>
      <c r="AO1" s="3609"/>
      <c r="AP1" s="3609"/>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3611"/>
      <c r="AK2" s="3612"/>
      <c r="AL2" s="3612"/>
      <c r="AM2" s="3612"/>
      <c r="AN2" s="3612"/>
      <c r="AO2" s="3612"/>
      <c r="AP2" s="3613"/>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3611"/>
      <c r="AK3" s="3612"/>
      <c r="AL3" s="3612"/>
      <c r="AM3" s="3612"/>
      <c r="AN3" s="3612"/>
      <c r="AO3" s="3612"/>
      <c r="AP3" s="3613"/>
      <c r="AQ3" s="2103"/>
      <c r="AR3" s="1286" t="s">
        <v>390</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3611"/>
      <c r="AK4" s="3612"/>
      <c r="AL4" s="3612"/>
      <c r="AM4" s="3612"/>
      <c r="AN4" s="3612"/>
      <c r="AO4" s="3612"/>
      <c r="AP4" s="3613"/>
      <c r="AQ4" s="2103"/>
      <c r="AR4" s="1286" t="s">
        <v>504</v>
      </c>
      <c r="AT4" s="506"/>
      <c r="AU4" s="506" t="str">
        <f>IF(T4="","",T4)</f>
        <v>Наименование централизованной системы водоотведения</v>
      </c>
      <c r="AV4" s="506"/>
      <c r="AW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3616"/>
      <c r="AK5" s="3617"/>
      <c r="AL5" s="3617"/>
      <c r="AM5" s="3617"/>
      <c r="AN5" s="3617"/>
      <c r="AO5" s="3617"/>
      <c r="AP5" s="3618"/>
      <c r="AQ5" s="2199"/>
      <c r="AR5" s="1286" t="s">
        <v>473</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3619"/>
      <c r="AK6" s="3620"/>
      <c r="AL6" s="3620"/>
      <c r="AM6" s="3620"/>
      <c r="AN6" s="3620"/>
      <c r="AO6" s="3620"/>
      <c r="AP6" s="3621"/>
      <c r="AQ6" s="2097"/>
      <c r="AR6" s="1337" t="s">
        <v>474</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3622"/>
      <c r="AK7" s="3622"/>
      <c r="AL7" s="3623"/>
      <c r="AM7" s="3624"/>
      <c r="AN7" s="3625" t="s">
        <v>60</v>
      </c>
      <c r="AO7" s="3624"/>
      <c r="AP7" s="3625" t="s">
        <v>60</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27"/>
      <c r="AK8" s="3627"/>
      <c r="AL8" s="3628" t="str">
        <f>AM7&amp;"-"&amp;AO7</f>
        <v>-</v>
      </c>
      <c r="AM8" s="3629"/>
      <c r="AN8" s="3625"/>
      <c r="AO8" s="3629"/>
      <c r="AP8" s="3625"/>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30"/>
      <c r="AK9" s="3631"/>
      <c r="AL9" s="3632"/>
      <c r="AM9" s="3633"/>
      <c r="AN9" s="3634"/>
      <c r="AO9" s="3635"/>
      <c r="AP9" s="3636"/>
      <c r="AQ9" s="367"/>
      <c r="AR9" s="1286" t="s">
        <v>476</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37"/>
      <c r="AK10" s="3638"/>
      <c r="AL10" s="3639"/>
      <c r="AM10" s="3640"/>
      <c r="AN10" s="3641"/>
      <c r="AO10" s="3642"/>
      <c r="AP10" s="3643"/>
      <c r="AQ10" s="367"/>
      <c r="AR10" s="1470"/>
      <c r="AT10" s="506"/>
      <c r="AU10" s="506" t="str">
        <f>IF(T10="","",T10)</f>
        <v>Добавить группу потребителей</v>
      </c>
      <c r="AV10" s="506"/>
      <c r="AW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44"/>
      <c r="AK11" s="3645"/>
      <c r="AL11" s="3646"/>
      <c r="AM11" s="3647"/>
      <c r="AN11" s="3648"/>
      <c r="AO11" s="3649"/>
      <c r="AP11" s="3650"/>
      <c r="AQ11" s="367"/>
      <c r="AR11" s="291"/>
      <c r="AT11" s="506"/>
      <c r="AU11" s="506" t="str">
        <f>IF(T11="","",T11)</f>
        <v>Добавить наименование признака дифференциации</v>
      </c>
      <c r="AV11" s="506"/>
      <c r="AW11" s="506"/>
    </row>
    <row s="330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254</v>
      </c>
      <c r="U12" s="1354"/>
      <c r="V12" s="1354"/>
      <c r="W12" s="1354"/>
      <c r="X12" s="1354"/>
      <c r="Y12" s="1354"/>
      <c r="Z12" s="1354"/>
      <c r="AA12" s="1354"/>
      <c r="AB12" s="1354"/>
      <c r="AC12" s="1354"/>
      <c r="AD12" s="1354"/>
      <c r="AE12" s="1354"/>
      <c r="AF12" s="1354"/>
      <c r="AG12" s="1354"/>
      <c r="AH12" s="1354"/>
      <c r="AI12" s="1354"/>
      <c r="AJ12" s="3652"/>
      <c r="AK12" s="3652"/>
      <c r="AL12" s="3652"/>
      <c r="AM12" s="3652"/>
      <c r="AN12" s="3652"/>
      <c r="AO12" s="3652"/>
      <c r="AP12" s="3652"/>
      <c r="AQ12" s="1354"/>
      <c r="AR12" s="1354"/>
      <c r="AT12" s="795"/>
      <c r="AU12" s="795" t="str">
        <f>IF(T12="","",T12)</f>
        <v>Добавить централизованную систему для дифференциации</v>
      </c>
      <c r="AV12" s="795"/>
      <c r="AW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255</v>
      </c>
      <c r="U13" s="1354"/>
      <c r="V13" s="1354"/>
      <c r="W13" s="1354"/>
      <c r="X13" s="1354"/>
      <c r="Y13" s="1354"/>
      <c r="Z13" s="1354"/>
      <c r="AA13" s="1354"/>
      <c r="AB13" s="1354"/>
      <c r="AC13" s="1354"/>
      <c r="AD13" s="1354"/>
      <c r="AE13" s="1354"/>
      <c r="AF13" s="1354"/>
      <c r="AG13" s="1354"/>
      <c r="AH13" s="1354"/>
      <c r="AI13" s="1354"/>
      <c r="AJ13" s="3652"/>
      <c r="AK13" s="3652"/>
      <c r="AL13" s="3652"/>
      <c r="AM13" s="3652"/>
      <c r="AN13" s="3652"/>
      <c r="AO13" s="3652"/>
      <c r="AP13" s="3652"/>
      <c r="AQ13" s="1354"/>
      <c r="AR13" s="1354"/>
      <c r="AT13" s="506"/>
      <c r="AU13" s="506" t="str">
        <f>IF(T13="","",T13)</f>
        <v>Добавить территорию для дифференциации</v>
      </c>
      <c r="AV13" s="506"/>
      <c r="AW13" s="506"/>
    </row>
    <row customHeight="1" ht="14.25" hidden="1">
      <c r="AB14" s="323"/>
      <c r="AI14" s="323"/>
      <c r="AJ14" s="3609"/>
      <c r="AK14" s="3609"/>
      <c r="AL14" s="3609"/>
      <c r="AM14" s="3609"/>
      <c r="AN14" s="3609"/>
      <c r="AO14" s="3609"/>
      <c r="AP14" s="3609"/>
    </row>
    <row customHeight="1" ht="14.25" hidden="1">
      <c r="AC15" s="1390"/>
      <c r="AD15" s="1390"/>
      <c r="AE15" s="1391"/>
      <c r="AF15" s="2105"/>
      <c r="AG15" s="2104" t="s">
        <v>60</v>
      </c>
      <c r="AH15" s="2105"/>
      <c r="AI15" s="2104" t="s">
        <v>60</v>
      </c>
      <c r="AJ15" s="3609"/>
      <c r="AK15" s="3609"/>
      <c r="AL15" s="3609"/>
      <c r="AM15" s="3609"/>
      <c r="AN15" s="3609"/>
      <c r="AO15" s="3609"/>
      <c r="AP15" s="3609"/>
    </row>
    <row customHeight="1" ht="14.25" hidden="1">
      <c r="AC16" s="1390"/>
      <c r="AD16" s="1390"/>
      <c r="AE16" s="324" t="str">
        <f>AF15&amp;"-"&amp;AH15</f>
        <v>-</v>
      </c>
      <c r="AF16" s="2104"/>
      <c r="AG16" s="2104"/>
      <c r="AH16" s="2104"/>
      <c r="AI16" s="2104"/>
      <c r="AJ16" s="3609"/>
      <c r="AK16" s="3609"/>
      <c r="AL16" s="3609"/>
      <c r="AM16" s="3609"/>
      <c r="AN16" s="3609"/>
      <c r="AO16" s="3609"/>
      <c r="AP16" s="3609"/>
    </row>
    <row customHeight="1" ht="14.25" hidden="1">
      <c r="AI17" s="323"/>
      <c r="AJ17" s="3609"/>
      <c r="AK17" s="3609"/>
      <c r="AL17" s="3609"/>
      <c r="AM17" s="3609"/>
      <c r="AN17" s="3609"/>
      <c r="AO17" s="3609"/>
      <c r="AP17" s="3609"/>
    </row>
    <row s="3327" customFormat="1" customHeight="1" ht="22.5" hidden="1">
      <c r="L18" s="1508"/>
      <c r="M18" s="1392"/>
      <c r="N18" s="1392"/>
      <c r="O18" s="1397" t="s">
        <v>407</v>
      </c>
      <c r="P18" s="1392"/>
      <c r="Q18" s="1401"/>
      <c r="R18" s="1401"/>
      <c r="S18" s="735"/>
      <c r="Y18" s="1397"/>
      <c r="AA18" s="1397"/>
      <c r="AB18" s="1396"/>
      <c r="AF18" s="1397"/>
      <c r="AH18" s="1397"/>
      <c r="AI18" s="1396"/>
      <c r="AJ18" s="3654"/>
      <c r="AK18" s="3654"/>
      <c r="AL18" s="3654"/>
      <c r="AM18" s="3655"/>
      <c r="AN18" s="3654"/>
      <c r="AO18" s="3655"/>
      <c r="AP18" s="3654"/>
      <c r="AS18" s="517"/>
      <c r="AT18" s="517"/>
      <c r="AU18" s="517"/>
      <c r="AV18" s="517"/>
      <c r="AW18" s="517"/>
    </row>
    <row s="3327" customFormat="1" customHeight="1" ht="14.25" hidden="1">
      <c r="L19" s="1508"/>
      <c r="M19" s="1392"/>
      <c r="N19" s="1392"/>
      <c r="O19" s="1392"/>
      <c r="P19" s="1392"/>
      <c r="Q19" s="1401"/>
      <c r="R19" s="1401"/>
      <c r="S19" s="735"/>
      <c r="AB19" s="1396"/>
      <c r="AI19" s="1396"/>
      <c r="AJ19" s="3654"/>
      <c r="AK19" s="3654"/>
      <c r="AL19" s="3654"/>
      <c r="AM19" s="3654"/>
      <c r="AN19" s="3654"/>
      <c r="AO19" s="3654"/>
      <c r="AP19" s="3654"/>
      <c r="AS19" s="517"/>
      <c r="AT19" s="517"/>
      <c r="AU19" s="517"/>
      <c r="AV19" s="517"/>
      <c r="AW19" s="517"/>
    </row>
    <row s="3327"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c r="AJ20" s="3654"/>
      <c r="AK20" s="3654"/>
      <c r="AL20" s="3654"/>
      <c r="AM20" s="3654"/>
      <c r="AN20" s="3656" t="s">
        <v>410</v>
      </c>
      <c r="AO20" s="3654"/>
      <c r="AP20" s="3656" t="s">
        <v>411</v>
      </c>
    </row>
    <row customHeight="1" ht="14.25" hidden="1">
      <c r="O21" s="1394"/>
      <c r="AJ21" s="3609"/>
      <c r="AK21" s="3609"/>
      <c r="AL21" s="3609"/>
      <c r="AM21" s="3609"/>
      <c r="AN21" s="3609"/>
      <c r="AO21" s="3609"/>
      <c r="AP21" s="3609"/>
    </row>
    <row customHeight="1" ht="14.25" hidden="1">
      <c r="O22" s="1394"/>
      <c r="AJ22" s="3609"/>
      <c r="AK22" s="3609"/>
      <c r="AL22" s="3609"/>
      <c r="AM22" s="3609"/>
      <c r="AN22" s="3609"/>
      <c r="AO22" s="3609"/>
      <c r="AP22" s="3609"/>
    </row>
    <row customHeight="1" ht="14.25">
      <c r="Q23" s="377"/>
      <c r="R23" s="377"/>
      <c r="S23" s="1305"/>
      <c r="T23" s="361"/>
      <c r="U23" s="361"/>
      <c r="V23" s="515"/>
      <c r="W23" s="515"/>
      <c r="X23" s="515"/>
      <c r="Y23" s="515"/>
      <c r="Z23" s="515"/>
      <c r="AA23" s="515"/>
      <c r="AB23" s="515"/>
      <c r="AC23" s="515"/>
      <c r="AD23" s="515"/>
      <c r="AE23" s="515"/>
      <c r="AF23" s="515"/>
      <c r="AG23" s="515"/>
      <c r="AH23" s="515"/>
      <c r="AI23" s="515"/>
      <c r="AJ23" s="3609"/>
      <c r="AK23" s="3609"/>
      <c r="AL23" s="3609"/>
      <c r="AM23" s="3609"/>
      <c r="AN23" s="3609"/>
      <c r="AO23" s="3609"/>
      <c r="AP23" s="3609"/>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57"/>
      <c r="AK24" s="3657"/>
      <c r="AL24" s="3657"/>
      <c r="AM24" s="3657"/>
      <c r="AN24" s="3657"/>
      <c r="AO24" s="3657"/>
      <c r="AP24" s="3657"/>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c r="AJ25" s="3658"/>
      <c r="AK25" s="3658"/>
      <c r="AL25" s="3658"/>
      <c r="AM25" s="3658"/>
      <c r="AN25" s="3658"/>
      <c r="AO25" s="3658"/>
      <c r="AP25" s="3658"/>
    </row>
    <row customHeight="1" ht="14.25">
      <c r="Q26" s="377"/>
      <c r="R26" s="377"/>
      <c r="S26" s="1305"/>
      <c r="T26" s="361"/>
      <c r="U26" s="361"/>
      <c r="V26" s="316"/>
      <c r="W26" s="316"/>
      <c r="X26" s="316"/>
      <c r="Y26" s="316"/>
      <c r="Z26" s="316"/>
      <c r="AA26" s="316"/>
      <c r="AB26" s="316"/>
      <c r="AC26" s="316"/>
      <c r="AD26" s="316"/>
      <c r="AE26" s="316"/>
      <c r="AF26" s="316"/>
      <c r="AG26" s="316"/>
      <c r="AH26" s="316"/>
      <c r="AI26" s="316"/>
      <c r="AJ26" s="3659"/>
      <c r="AK26" s="3659"/>
      <c r="AL26" s="3659"/>
      <c r="AM26" s="3659"/>
      <c r="AN26" s="3659"/>
      <c r="AO26" s="3659"/>
      <c r="AP26" s="3659"/>
      <c r="AQ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660" t="str">
        <f>IF(TITLE_NAME_OR_PR_CHANGE="",IF(TITLE_NAME_OR_PR="","",TITLE_NAME_OR_PR),TITLE_NAME_OR_PR_CHANGE)</f>
        <v>Министерство промышленности, экономического развития и торговли Республики Марий Эл</v>
      </c>
      <c r="AK27" s="3660"/>
      <c r="AL27" s="3660"/>
      <c r="AM27" s="3660"/>
      <c r="AN27" s="3660"/>
      <c r="AO27" s="3660"/>
      <c r="AP27" s="3609"/>
      <c r="AQ27" s="322"/>
      <c r="AR27" s="268"/>
      <c r="AS27" s="368"/>
      <c r="AT27" s="368"/>
      <c r="AU27" s="368"/>
      <c r="AV27" s="368"/>
      <c r="AW27" s="368"/>
    </row>
    <row s="3340"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45275.50763888889</v>
      </c>
      <c r="W28" s="2099"/>
      <c r="X28" s="2099"/>
      <c r="Y28" s="2099"/>
      <c r="Z28" s="2099"/>
      <c r="AA28" s="2099"/>
      <c r="AB28" s="322"/>
      <c r="AC28" s="2099" t="str">
        <f>IF(TITLE_DATE_PR_CHANGE="",IF(TITLE_DATE_PR="","",TITLE_DATE_PR),TITLE_DATE_PR_CHANGE)</f>
        <v>45275.50763888889</v>
      </c>
      <c r="AD28" s="2099"/>
      <c r="AE28" s="2099"/>
      <c r="AF28" s="2099"/>
      <c r="AG28" s="2099"/>
      <c r="AH28" s="2099"/>
      <c r="AI28" s="322"/>
      <c r="AJ28" s="3661" t="str">
        <f>IF(TITLE_DATE_PR_CHANGE="",IF(TITLE_DATE_PR="","",TITLE_DATE_PR),TITLE_DATE_PR_CHANGE)</f>
        <v>45275.50763888889</v>
      </c>
      <c r="AK28" s="3661"/>
      <c r="AL28" s="3661"/>
      <c r="AM28" s="3661"/>
      <c r="AN28" s="3661"/>
      <c r="AO28" s="3661"/>
      <c r="AP28" s="3609"/>
      <c r="AQ28" s="322"/>
      <c r="AR28" s="268"/>
      <c r="AS28" s="368"/>
      <c r="AT28" s="368"/>
      <c r="AU28" s="368"/>
      <c r="AV28" s="368"/>
      <c r="AW28" s="368"/>
    </row>
    <row s="3340"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660" t="str">
        <f>IF(TITLE_NUMBER_PR_CHANGE="",IF(TITLE_NUMBER_PR="","",TITLE_NUMBER_PR),TITLE_NUMBER_PR_CHANGE)</f>
        <v>52т, 102т</v>
      </c>
      <c r="AK29" s="3660"/>
      <c r="AL29" s="3660"/>
      <c r="AM29" s="3660"/>
      <c r="AN29" s="3660"/>
      <c r="AO29" s="3660"/>
      <c r="AP29" s="3609"/>
      <c r="AQ29" s="322"/>
      <c r="AR29" s="268"/>
      <c r="AS29" s="368"/>
      <c r="AT29" s="368"/>
      <c r="AU29" s="368"/>
      <c r="AV29" s="368"/>
      <c r="AW29" s="368"/>
    </row>
    <row s="334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660" t="str">
        <f>IF(TITLE_IST_PUB_CHANGE="",IF(TITLE_IST_PUB="","",TITLE_IST_PUB),TITLE_IST_PUB_CHANGE)</f>
        <v>https://mari-el.gov.ru/ministries/mecon/tarif/pages/resheniya-ob-ustanovlenii-tarifov-vodosnabzhenie-vodootvedenie-utilizatsiya-tbo/#close</v>
      </c>
      <c r="AK30" s="3660"/>
      <c r="AL30" s="3660"/>
      <c r="AM30" s="3660"/>
      <c r="AN30" s="3660"/>
      <c r="AO30" s="3660"/>
      <c r="AP30" s="3609"/>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59"/>
      <c r="AK31" s="3659"/>
      <c r="AL31" s="3659"/>
      <c r="AM31" s="3659"/>
      <c r="AN31" s="3659"/>
      <c r="AO31" s="3659"/>
      <c r="AP31" s="3659"/>
      <c r="AQ31" s="515"/>
    </row>
    <row s="3340"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45275.50763888889</v>
      </c>
      <c r="W32" s="2099"/>
      <c r="X32" s="2099"/>
      <c r="Y32" s="2099"/>
      <c r="Z32" s="2099"/>
      <c r="AA32" s="2099"/>
      <c r="AB32" s="322"/>
      <c r="AC32" s="2099" t="str">
        <f>IF(TITLE_DATE_PR_CHANGE="",IF(TITLE_DATE_PR="","",TITLE_DATE_PR),TITLE_DATE_PR_CHANGE)</f>
        <v>45275.50763888889</v>
      </c>
      <c r="AD32" s="2099"/>
      <c r="AE32" s="2099"/>
      <c r="AF32" s="2099"/>
      <c r="AG32" s="2099"/>
      <c r="AH32" s="2099"/>
      <c r="AI32" s="322"/>
      <c r="AJ32" s="3661" t="str">
        <f>IF(TITLE_DATE_PR_CHANGE="",IF(TITLE_DATE_PR="","",TITLE_DATE_PR),TITLE_DATE_PR_CHANGE)</f>
        <v>45275.50763888889</v>
      </c>
      <c r="AK32" s="3661"/>
      <c r="AL32" s="3661"/>
      <c r="AM32" s="3661"/>
      <c r="AN32" s="3661"/>
      <c r="AO32" s="3661"/>
      <c r="AP32" s="3609"/>
      <c r="AQ32" s="322"/>
      <c r="AR32" s="268"/>
      <c r="AS32" s="368"/>
      <c r="AT32" s="368"/>
      <c r="AU32" s="368"/>
      <c r="AV32" s="368"/>
      <c r="AW32" s="368"/>
    </row>
    <row s="3340"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660" t="str">
        <f>IF(TITLE_NUMBER_PR_CHANGE="",IF(TITLE_NUMBER_PR="","",TITLE_NUMBER_PR),TITLE_NUMBER_PR_CHANGE)</f>
        <v>52т, 102т</v>
      </c>
      <c r="AK33" s="3660"/>
      <c r="AL33" s="3660"/>
      <c r="AM33" s="3660"/>
      <c r="AN33" s="3660"/>
      <c r="AO33" s="3660"/>
      <c r="AP33" s="3609"/>
      <c r="AQ33" s="322"/>
      <c r="AR33" s="268"/>
      <c r="AS33" s="368"/>
      <c r="AT33" s="368"/>
      <c r="AU33" s="368"/>
      <c r="AV33" s="368"/>
      <c r="AW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J34" s="3609"/>
      <c r="AK34" s="3609"/>
      <c r="AL34" s="3609"/>
      <c r="AM34" s="3609"/>
      <c r="AN34" s="3609"/>
      <c r="AO34" s="3609"/>
      <c r="AP34" s="3663" t="s">
        <v>417</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64" t="s">
        <v>505</v>
      </c>
      <c r="AK35" s="3664"/>
      <c r="AL35" s="3664"/>
      <c r="AM35" s="3664"/>
      <c r="AN35" s="3664"/>
      <c r="AO35" s="3664"/>
      <c r="AP35" s="366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3665" t="s">
        <v>290</v>
      </c>
      <c r="AK36" s="3665"/>
      <c r="AL36" s="3665"/>
      <c r="AM36" s="3665"/>
      <c r="AN36" s="3665"/>
      <c r="AO36" s="3665"/>
      <c r="AP36" s="3665"/>
      <c r="AQ36" s="1971"/>
      <c r="AR36" s="1971"/>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3666" t="s">
        <v>419</v>
      </c>
      <c r="AK37" s="3667"/>
      <c r="AL37" s="3667"/>
      <c r="AM37" s="3667"/>
      <c r="AN37" s="3667"/>
      <c r="AO37" s="3668"/>
      <c r="AP37" s="3669" t="s">
        <v>420</v>
      </c>
      <c r="AQ37" s="2132" t="s">
        <v>422</v>
      </c>
      <c r="AR37" s="1971"/>
    </row>
    <row customHeight="1" ht="33.75">
      <c r="Q38" s="377"/>
      <c r="R38" s="377"/>
      <c r="S38" s="2125"/>
      <c r="T38" s="2062"/>
      <c r="U38" s="1038"/>
      <c r="V38" s="1513" t="s">
        <v>478</v>
      </c>
      <c r="W38" s="2118" t="s">
        <v>425</v>
      </c>
      <c r="X38" s="2120"/>
      <c r="Y38" s="2118" t="s">
        <v>426</v>
      </c>
      <c r="Z38" s="2119"/>
      <c r="AA38" s="2120"/>
      <c r="AB38" s="2130"/>
      <c r="AC38" s="1513" t="s">
        <v>478</v>
      </c>
      <c r="AD38" s="2118" t="s">
        <v>425</v>
      </c>
      <c r="AE38" s="2120"/>
      <c r="AF38" s="2118" t="s">
        <v>426</v>
      </c>
      <c r="AG38" s="2119"/>
      <c r="AH38" s="2120"/>
      <c r="AI38" s="2130"/>
      <c r="AJ38" s="3671" t="s">
        <v>478</v>
      </c>
      <c r="AK38" s="3672" t="s">
        <v>425</v>
      </c>
      <c r="AL38" s="3673"/>
      <c r="AM38" s="3672" t="s">
        <v>426</v>
      </c>
      <c r="AN38" s="3674"/>
      <c r="AO38" s="3673"/>
      <c r="AP38" s="3675"/>
      <c r="AQ38" s="2133"/>
      <c r="AR38" s="1971"/>
    </row>
    <row customHeight="1" ht="86.25">
      <c r="A39" s="1400"/>
      <c r="B39" s="1400" t="s">
        <v>133</v>
      </c>
      <c r="C39" s="1400" t="s">
        <v>134</v>
      </c>
      <c r="D39" s="1400" t="s">
        <v>135</v>
      </c>
      <c r="E39" s="1394" t="s">
        <v>427</v>
      </c>
      <c r="F39" s="1394" t="s">
        <v>428</v>
      </c>
      <c r="G39" s="1394" t="s">
        <v>429</v>
      </c>
      <c r="H39" s="1394"/>
      <c r="I39" s="1394" t="s">
        <v>479</v>
      </c>
      <c r="J39" s="1394" t="s">
        <v>432</v>
      </c>
      <c r="K39" s="1394" t="s">
        <v>480</v>
      </c>
      <c r="L39" s="1394" t="s">
        <v>408</v>
      </c>
      <c r="Q39" s="377"/>
      <c r="R39" s="377"/>
      <c r="S39" s="2125"/>
      <c r="T39" s="2062"/>
      <c r="U39" s="290"/>
      <c r="V39" s="1513" t="s">
        <v>506</v>
      </c>
      <c r="W39" s="1237" t="s">
        <v>507</v>
      </c>
      <c r="X39" s="1237" t="s">
        <v>483</v>
      </c>
      <c r="Y39" s="1519" t="s">
        <v>436</v>
      </c>
      <c r="Z39" s="2121" t="s">
        <v>437</v>
      </c>
      <c r="AA39" s="2122"/>
      <c r="AB39" s="2131"/>
      <c r="AC39" s="1513" t="s">
        <v>506</v>
      </c>
      <c r="AD39" s="1237" t="s">
        <v>507</v>
      </c>
      <c r="AE39" s="1237" t="s">
        <v>483</v>
      </c>
      <c r="AF39" s="1519" t="s">
        <v>436</v>
      </c>
      <c r="AG39" s="2121" t="s">
        <v>437</v>
      </c>
      <c r="AH39" s="2122"/>
      <c r="AI39" s="2131"/>
      <c r="AJ39" s="3671" t="s">
        <v>506</v>
      </c>
      <c r="AK39" s="3677" t="s">
        <v>507</v>
      </c>
      <c r="AL39" s="3677" t="s">
        <v>483</v>
      </c>
      <c r="AM39" s="3677" t="s">
        <v>436</v>
      </c>
      <c r="AN39" s="3678" t="s">
        <v>437</v>
      </c>
      <c r="AO39" s="3679"/>
      <c r="AP39" s="3680"/>
      <c r="AQ39" s="2134"/>
      <c r="AR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682">
        <f>OFFSET(AJ40,0,-1)+1</f>
        <v>3</v>
      </c>
      <c r="AK40" s="3682">
        <f>OFFSET(AK40,0,-1)+1</f>
        <v>4</v>
      </c>
      <c r="AL40" s="3682">
        <f>OFFSET(AL40,0,-1)+1</f>
        <v>5</v>
      </c>
      <c r="AM40" s="3682">
        <f>OFFSET(AM40,0,-1)+1</f>
        <v>6</v>
      </c>
      <c r="AN40" s="3682">
        <f>OFFSET(AN40,0,-1)+1</f>
        <v>7</v>
      </c>
      <c r="AO40" s="3682"/>
      <c r="AP40" s="3682">
        <f>OFFSET(AP40,0,-2)+1</f>
        <v>8</v>
      </c>
      <c r="AQ40" s="1263">
        <f>OFFSET(AQ40,0,-1)</f>
        <v>14</v>
      </c>
      <c r="AR40" s="1512">
        <f>OFFSET(AR40,0,-1)+1</f>
        <v>15</v>
      </c>
      <c r="AS40" s="517"/>
      <c r="AT40" s="517"/>
      <c r="AU40" s="517"/>
      <c r="AV40" s="517"/>
      <c r="AW40" s="517"/>
    </row>
    <row customHeight="1" ht="23.25">
      <c r="A41" s="1393" t="s">
        <v>251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121</v>
      </c>
      <c r="U41" s="288"/>
      <c r="V41" s="2101"/>
      <c r="W41" s="2102"/>
      <c r="X41" s="2102"/>
      <c r="Y41" s="2102"/>
      <c r="Z41" s="2102"/>
      <c r="AA41" s="2102"/>
      <c r="AB41" s="2103"/>
      <c r="AC41" s="2101" t="str">
        <f>INDEX(PT_DIFFERENTIATION_NTAR,MATCH(A41,PT_DIFFERENTIATION_NTAR_ID,0))</f>
        <v>Тариф на водоотведение</v>
      </c>
      <c r="AD41" s="2102"/>
      <c r="AE41" s="2102"/>
      <c r="AF41" s="2102"/>
      <c r="AG41" s="2102"/>
      <c r="AH41" s="2102"/>
      <c r="AI41" s="2102"/>
      <c r="AJ41" s="3611"/>
      <c r="AK41" s="3612"/>
      <c r="AL41" s="3612"/>
      <c r="AM41" s="3612"/>
      <c r="AN41" s="3612"/>
      <c r="AO41" s="3612"/>
      <c r="AP41" s="3613"/>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251</v>
      </c>
      <c r="B42" s="1393" t="s">
        <v>252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389</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611"/>
      <c r="AK42" s="3612"/>
      <c r="AL42" s="3612"/>
      <c r="AM42" s="3612"/>
      <c r="AN42" s="3612"/>
      <c r="AO42" s="3612"/>
      <c r="AP42" s="3613"/>
      <c r="AQ42" s="2103"/>
      <c r="AR42" s="1286" t="s">
        <v>390</v>
      </c>
      <c r="AT42" s="506"/>
      <c r="AU42" s="506" t="str">
        <f>IF(T42="","",T42)</f>
        <v>Территория действия тарифа</v>
      </c>
      <c r="AV42" s="506"/>
      <c r="AW42" s="506"/>
    </row>
    <row customHeight="1" ht="23.25">
      <c r="A43" s="1393" t="s">
        <v>251</v>
      </c>
      <c r="B43" s="1393" t="s">
        <v>252</v>
      </c>
      <c r="C43" s="1393" t="s">
        <v>253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503</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611"/>
      <c r="AK43" s="3612"/>
      <c r="AL43" s="3612"/>
      <c r="AM43" s="3612"/>
      <c r="AN43" s="3612"/>
      <c r="AO43" s="3612"/>
      <c r="AP43" s="3613"/>
      <c r="AQ43" s="2103"/>
      <c r="AR43" s="1286" t="s">
        <v>504</v>
      </c>
      <c r="AT43" s="506"/>
      <c r="AU43" s="506" t="str">
        <f>IF(T43="","",T43)</f>
        <v>Наименование централизованной системы водоотведения</v>
      </c>
      <c r="AV43" s="506"/>
      <c r="AW43" s="506"/>
    </row>
    <row customHeight="1" ht="23.25">
      <c r="A44" s="1393" t="s">
        <v>251</v>
      </c>
      <c r="B44" s="1393" t="s">
        <v>252</v>
      </c>
      <c r="C44" s="1393" t="s">
        <v>253</v>
      </c>
      <c r="D44" s="1393" t="s">
        <v>508</v>
      </c>
      <c r="E44" s="2108"/>
      <c r="F44" s="2108"/>
      <c r="G44" s="2108"/>
      <c r="H44" s="2108"/>
      <c r="I44" s="2109" t="str">
        <f>S43&amp;".1"</f>
        <v>1.1.1.1</v>
      </c>
      <c r="J44" s="1393"/>
      <c r="K44" s="1393"/>
      <c r="L44" s="1394"/>
      <c r="P44" s="2111">
        <v>1</v>
      </c>
      <c r="Q44" s="1511"/>
      <c r="R44" s="352"/>
      <c r="S44" s="1523" t="str">
        <f>$I44</f>
        <v>1.1.1.1</v>
      </c>
      <c r="T44" s="273" t="s">
        <v>472</v>
      </c>
      <c r="U44" s="288"/>
      <c r="V44" s="2194"/>
      <c r="W44" s="2195"/>
      <c r="X44" s="2195"/>
      <c r="Y44" s="2195"/>
      <c r="Z44" s="2195"/>
      <c r="AA44" s="2195"/>
      <c r="AB44" s="2196"/>
      <c r="AC44" s="2197"/>
      <c r="AD44" s="2198"/>
      <c r="AE44" s="2198"/>
      <c r="AF44" s="2198"/>
      <c r="AG44" s="2198"/>
      <c r="AH44" s="2198"/>
      <c r="AI44" s="2198"/>
      <c r="AJ44" s="3616"/>
      <c r="AK44" s="3617"/>
      <c r="AL44" s="3617"/>
      <c r="AM44" s="3617"/>
      <c r="AN44" s="3617"/>
      <c r="AO44" s="3617"/>
      <c r="AP44" s="3618"/>
      <c r="AQ44" s="2199"/>
      <c r="AR44" s="1286" t="s">
        <v>473</v>
      </c>
      <c r="AT44" s="506"/>
      <c r="AU44" s="506" t="str">
        <f>IF(T44="","",T44)</f>
        <v>Наименование признака дифференциации</v>
      </c>
      <c r="AV44" s="506"/>
      <c r="AW44" s="506"/>
    </row>
    <row customHeight="1" ht="23.25">
      <c r="A45" s="1393" t="s">
        <v>251</v>
      </c>
      <c r="B45" s="1393" t="s">
        <v>252</v>
      </c>
      <c r="C45" s="1393" t="s">
        <v>253</v>
      </c>
      <c r="D45" s="1393" t="s">
        <v>508</v>
      </c>
      <c r="E45" s="2108"/>
      <c r="F45" s="2108"/>
      <c r="G45" s="2108"/>
      <c r="H45" s="2108"/>
      <c r="I45" s="2110"/>
      <c r="J45" s="2109" t="str">
        <f>I44&amp;".1"</f>
        <v>1.1.1.1.1</v>
      </c>
      <c r="K45" s="1393"/>
      <c r="L45" s="1394" t="s">
        <v>398</v>
      </c>
      <c r="P45" s="2111"/>
      <c r="Q45" s="2111">
        <v>1</v>
      </c>
      <c r="R45" s="353"/>
      <c r="S45" s="1523" t="str">
        <f>$J45</f>
        <v>1.1.1.1.1</v>
      </c>
      <c r="T45" s="274" t="s">
        <v>399</v>
      </c>
      <c r="U45" s="288"/>
      <c r="V45" s="2095"/>
      <c r="W45" s="2096"/>
      <c r="X45" s="2096"/>
      <c r="Y45" s="2096"/>
      <c r="Z45" s="2096"/>
      <c r="AA45" s="2096"/>
      <c r="AB45" s="2097"/>
      <c r="AC45" s="2095" t="s">
        <v>509</v>
      </c>
      <c r="AD45" s="2096"/>
      <c r="AE45" s="2096"/>
      <c r="AF45" s="2096"/>
      <c r="AG45" s="2096"/>
      <c r="AH45" s="2096"/>
      <c r="AI45" s="2096"/>
      <c r="AJ45" s="3619"/>
      <c r="AK45" s="3620"/>
      <c r="AL45" s="3620"/>
      <c r="AM45" s="3620"/>
      <c r="AN45" s="3620"/>
      <c r="AO45" s="3620"/>
      <c r="AP45" s="3621"/>
      <c r="AQ45" s="2097"/>
      <c r="AR45" s="1337" t="s">
        <v>474</v>
      </c>
      <c r="AT45" s="506"/>
      <c r="AU45" s="506" t="str">
        <f>IF(T45="","",T45)</f>
        <v>Группа потребителей</v>
      </c>
      <c r="AV45" s="506"/>
      <c r="AW45" s="506"/>
    </row>
    <row customHeight="1" ht="23.25">
      <c r="A46" s="1393" t="s">
        <v>251</v>
      </c>
      <c r="B46" s="1393" t="s">
        <v>252</v>
      </c>
      <c r="C46" s="1393" t="s">
        <v>253</v>
      </c>
      <c r="D46" s="1393" t="s">
        <v>508</v>
      </c>
      <c r="E46" s="2108"/>
      <c r="F46" s="2108"/>
      <c r="G46" s="2108"/>
      <c r="H46" s="2108"/>
      <c r="I46" s="2110"/>
      <c r="J46" s="2110"/>
      <c r="K46" s="2109" t="str">
        <f>J45&amp;".1"</f>
        <v>1.1.1.1.1.1</v>
      </c>
      <c r="L46" s="1394"/>
      <c r="P46" s="2111"/>
      <c r="Q46" s="2111"/>
      <c r="R46" s="353">
        <v>1</v>
      </c>
      <c r="S46" s="1523" t="str">
        <f>$K46</f>
        <v>1.1.1.1.1.1</v>
      </c>
      <c r="T46" s="1467"/>
      <c r="U46" s="288"/>
      <c r="V46" s="3622"/>
      <c r="W46" s="3622"/>
      <c r="X46" s="3623"/>
      <c r="Y46" s="3624"/>
      <c r="Z46" s="3625" t="s">
        <v>60</v>
      </c>
      <c r="AA46" s="3683"/>
      <c r="AB46" s="3625" t="s">
        <v>60</v>
      </c>
      <c r="AC46" s="757">
        <v>21.72</v>
      </c>
      <c r="AD46" s="757"/>
      <c r="AE46" s="1285"/>
      <c r="AF46" s="3624">
        <v>45292.52747685185</v>
      </c>
      <c r="AG46" s="1981" t="s">
        <v>60</v>
      </c>
      <c r="AH46" s="3683">
        <v>45473.52752314815</v>
      </c>
      <c r="AI46" s="1981" t="s">
        <v>60</v>
      </c>
      <c r="AJ46" s="3622">
        <v>22.91</v>
      </c>
      <c r="AK46" s="3622"/>
      <c r="AL46" s="3623"/>
      <c r="AM46" s="3624">
        <v>45474.52763888889</v>
      </c>
      <c r="AN46" s="3625" t="s">
        <v>60</v>
      </c>
      <c r="AO46" s="3683">
        <v>45657.527708333335</v>
      </c>
      <c r="AP46" s="3625" t="s">
        <v>60</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
      </c>
      <c r="AV46" s="506"/>
      <c r="AW46" s="506"/>
    </row>
    <row customHeight="1" ht="0">
      <c r="A47" s="1393" t="s">
        <v>251</v>
      </c>
      <c r="B47" s="1393" t="s">
        <v>252</v>
      </c>
      <c r="C47" s="1393" t="s">
        <v>253</v>
      </c>
      <c r="D47" s="1393" t="s">
        <v>508</v>
      </c>
      <c r="E47" s="2108"/>
      <c r="F47" s="2108"/>
      <c r="G47" s="2108"/>
      <c r="H47" s="2108"/>
      <c r="I47" s="2110"/>
      <c r="J47" s="2110"/>
      <c r="K47" s="2109"/>
      <c r="L47" s="1394"/>
      <c r="P47" s="2111"/>
      <c r="Q47" s="2111"/>
      <c r="R47" s="353"/>
      <c r="S47" s="1520"/>
      <c r="T47" s="288"/>
      <c r="U47" s="288"/>
      <c r="V47" s="3627"/>
      <c r="W47" s="3627"/>
      <c r="X47" s="3628" t="str">
        <f>Y46&amp;"-"&amp;AA46</f>
        <v>-</v>
      </c>
      <c r="Y47" s="3629"/>
      <c r="Z47" s="3625"/>
      <c r="AA47" s="3684"/>
      <c r="AB47" s="3625"/>
      <c r="AC47" s="320"/>
      <c r="AD47" s="320"/>
      <c r="AE47" s="324" t="str">
        <f>AF46&amp;"-"&amp;AH46</f>
        <v>45292.52747685185-45473.52752314815</v>
      </c>
      <c r="AF47" s="2113"/>
      <c r="AG47" s="1981"/>
      <c r="AH47" s="2115"/>
      <c r="AI47" s="1981"/>
      <c r="AJ47" s="3627"/>
      <c r="AK47" s="3627"/>
      <c r="AL47" s="3628" t="str">
        <f>AM46&amp;"-"&amp;AO46</f>
        <v>45474.52763888889-45657.527708333335</v>
      </c>
      <c r="AM47" s="3629"/>
      <c r="AN47" s="3625"/>
      <c r="AO47" s="3684"/>
      <c r="AP47" s="3625"/>
      <c r="AQ47" s="1469"/>
      <c r="AR47" s="2200"/>
      <c r="AT47" s="506"/>
      <c r="AU47" s="506" t="str">
        <f>IF(T47="","",T47)</f>
        <v/>
      </c>
      <c r="AV47" s="506"/>
      <c r="AW47" s="506"/>
    </row>
    <row customHeight="1" ht="21">
      <c r="A48" s="1393" t="s">
        <v>251</v>
      </c>
      <c r="B48" s="1393" t="s">
        <v>252</v>
      </c>
      <c r="C48" s="1393" t="s">
        <v>253</v>
      </c>
      <c r="D48" s="1393" t="s">
        <v>508</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85"/>
      <c r="AK48" s="3686"/>
      <c r="AL48" s="3687"/>
      <c r="AM48" s="3688"/>
      <c r="AN48" s="3689"/>
      <c r="AO48" s="3690"/>
      <c r="AP48" s="3691"/>
      <c r="AQ48" s="367"/>
      <c r="AR48" s="1286" t="s">
        <v>476</v>
      </c>
      <c r="AT48" s="506"/>
      <c r="AU48" s="506" t="str">
        <f>IF(T48="","",T48)</f>
        <v>Добавить значение признака дифференциации</v>
      </c>
      <c r="AV48" s="506"/>
      <c r="AW48" s="506"/>
    </row>
    <row customHeight="1" ht="21">
      <c r="A49" s="1393" t="s">
        <v>251</v>
      </c>
      <c r="B49" s="1393" t="s">
        <v>252</v>
      </c>
      <c r="C49" s="1393" t="s">
        <v>253</v>
      </c>
      <c r="D49" s="1393" t="s">
        <v>508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92"/>
      <c r="AK49" s="3693"/>
      <c r="AL49" s="3694"/>
      <c r="AM49" s="3695"/>
      <c r="AN49" s="3696"/>
      <c r="AO49" s="3697"/>
      <c r="AP49" s="3698"/>
      <c r="AQ49" s="367"/>
      <c r="AR49" s="1470"/>
      <c r="AT49" s="506"/>
      <c r="AU49" s="506" t="str">
        <f>IF(T49="","",T49)</f>
        <v>Добавить группу потребителей</v>
      </c>
      <c r="AV49" s="506"/>
      <c r="AW49" s="506"/>
    </row>
    <row customHeight="1" ht="21">
      <c r="A50" s="1393" t="s">
        <v>251</v>
      </c>
      <c r="B50" s="1393" t="s">
        <v>252</v>
      </c>
      <c r="C50" s="1393" t="s">
        <v>253</v>
      </c>
      <c r="D50" s="1393" t="s">
        <v>508</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99"/>
      <c r="AK50" s="3700"/>
      <c r="AL50" s="3701"/>
      <c r="AM50" s="3702"/>
      <c r="AN50" s="3703"/>
      <c r="AO50" s="3704"/>
      <c r="AP50" s="3705"/>
      <c r="AQ50" s="367"/>
      <c r="AR50" s="291"/>
      <c r="AT50" s="506"/>
      <c r="AU50" s="506" t="str">
        <f>IF(T50="","",T50)</f>
        <v>Добавить наименование признака дифференциации</v>
      </c>
      <c r="AV50" s="506"/>
      <c r="AW50" s="506"/>
    </row>
    <row s="3308" customFormat="1" customHeight="1" ht="0">
      <c r="A51" s="1373" t="s">
        <v>251</v>
      </c>
      <c r="B51" s="1373" t="s">
        <v>252</v>
      </c>
      <c r="C51" s="1344"/>
      <c r="D51" s="1344"/>
      <c r="E51" s="2108"/>
      <c r="F51" s="2107"/>
      <c r="G51" s="1344"/>
      <c r="H51" s="1344"/>
      <c r="I51" s="1344"/>
      <c r="J51" s="1344"/>
      <c r="K51" s="1344"/>
      <c r="L51" s="1524"/>
      <c r="M51" s="1351"/>
      <c r="N51" s="1351"/>
      <c r="P51" s="1346"/>
      <c r="Q51" s="1347"/>
      <c r="R51" s="1346"/>
      <c r="S51" s="1352"/>
      <c r="T51" s="1355" t="s">
        <v>254</v>
      </c>
      <c r="U51" s="1354"/>
      <c r="V51" s="1354"/>
      <c r="W51" s="1354"/>
      <c r="X51" s="1354"/>
      <c r="Y51" s="1354"/>
      <c r="Z51" s="1354"/>
      <c r="AA51" s="1354"/>
      <c r="AB51" s="1354"/>
      <c r="AC51" s="1354"/>
      <c r="AD51" s="1354"/>
      <c r="AE51" s="1354"/>
      <c r="AF51" s="1354"/>
      <c r="AG51" s="1354"/>
      <c r="AH51" s="1354"/>
      <c r="AI51" s="1354"/>
      <c r="AJ51" s="3652"/>
      <c r="AK51" s="3652"/>
      <c r="AL51" s="3652"/>
      <c r="AM51" s="3652"/>
      <c r="AN51" s="3652"/>
      <c r="AO51" s="3652"/>
      <c r="AP51" s="3652"/>
      <c r="AQ51" s="1354"/>
      <c r="AR51" s="1354"/>
      <c r="AT51" s="795"/>
      <c r="AU51" s="795" t="str">
        <f>IF(T51="","",T51)</f>
        <v>Добавить централизованную систему для дифференциации</v>
      </c>
      <c r="AV51" s="795"/>
      <c r="AW51" s="795"/>
    </row>
    <row s="2612" customFormat="1" customHeight="1" ht="0">
      <c r="A52" s="1373" t="s">
        <v>251</v>
      </c>
      <c r="B52" s="1373"/>
      <c r="C52" s="1373"/>
      <c r="D52" s="1373"/>
      <c r="E52" s="2107"/>
      <c r="F52" s="1373"/>
      <c r="G52" s="1373"/>
      <c r="H52" s="1373"/>
      <c r="I52" s="1373"/>
      <c r="J52" s="1373"/>
      <c r="K52" s="1373"/>
      <c r="L52" s="1376"/>
      <c r="M52" s="1351"/>
      <c r="N52" s="1351"/>
      <c r="O52" s="524"/>
      <c r="P52" s="385"/>
      <c r="Q52" s="1374"/>
      <c r="R52" s="385"/>
      <c r="S52" s="1352"/>
      <c r="T52" s="1355" t="s">
        <v>255</v>
      </c>
      <c r="U52" s="1354"/>
      <c r="V52" s="1354"/>
      <c r="W52" s="1354"/>
      <c r="X52" s="1354"/>
      <c r="Y52" s="1354"/>
      <c r="Z52" s="1354"/>
      <c r="AA52" s="1354"/>
      <c r="AB52" s="1354"/>
      <c r="AC52" s="1354"/>
      <c r="AD52" s="1354"/>
      <c r="AE52" s="1354"/>
      <c r="AF52" s="1354"/>
      <c r="AG52" s="1354"/>
      <c r="AH52" s="1354"/>
      <c r="AI52" s="1354"/>
      <c r="AJ52" s="3652"/>
      <c r="AK52" s="3652"/>
      <c r="AL52" s="3652"/>
      <c r="AM52" s="3652"/>
      <c r="AN52" s="3652"/>
      <c r="AO52" s="3652"/>
      <c r="AP52" s="3652"/>
      <c r="AQ52" s="1354"/>
      <c r="AR52" s="1354"/>
      <c r="AT52" s="506"/>
      <c r="AU52" s="506" t="str">
        <f>IF(T52="","",T52)</f>
        <v>Добавить территорию для дифференциации</v>
      </c>
      <c r="AV52" s="506"/>
      <c r="AW52" s="506"/>
    </row>
    <row s="330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256</v>
      </c>
      <c r="U53" s="1354"/>
      <c r="V53" s="1354"/>
      <c r="W53" s="1354"/>
      <c r="X53" s="1354"/>
      <c r="Y53" s="1354"/>
      <c r="Z53" s="1354"/>
      <c r="AA53" s="1354"/>
      <c r="AB53" s="1354"/>
      <c r="AC53" s="1354"/>
      <c r="AD53" s="1354"/>
      <c r="AE53" s="1354"/>
      <c r="AF53" s="1354"/>
      <c r="AG53" s="1354"/>
      <c r="AH53" s="1354"/>
      <c r="AI53" s="1354"/>
      <c r="AJ53" s="3652"/>
      <c r="AK53" s="3652"/>
      <c r="AL53" s="3652"/>
      <c r="AM53" s="3652"/>
      <c r="AN53" s="3652"/>
      <c r="AO53" s="3652"/>
      <c r="AP53" s="3652"/>
      <c r="AQ53" s="1354"/>
      <c r="AR53" s="1354"/>
      <c r="AT53" s="795"/>
      <c r="AU53" s="795" t="str">
        <f>IF(T53="","",T53)</f>
        <v>Добавить наименование тарифа</v>
      </c>
      <c r="AV53" s="795"/>
      <c r="AW53" s="795"/>
    </row>
    <row customHeight="1" ht="11.25">
      <c r="M54" s="1168"/>
      <c r="N54" s="1168"/>
      <c r="O54" s="543"/>
      <c r="P54" s="1163"/>
      <c r="Q54" s="1163"/>
      <c r="R54" s="1163"/>
      <c r="S54" s="1163"/>
      <c r="AJ54" s="3609"/>
      <c r="AK54" s="3609"/>
      <c r="AL54" s="3609"/>
      <c r="AM54" s="3609"/>
      <c r="AN54" s="3609"/>
      <c r="AO54" s="3609"/>
      <c r="AP54" s="3609"/>
      <c r="AS54" s="1163"/>
      <c r="AT54" s="1163"/>
      <c r="AU54" s="1163"/>
      <c r="AV54" s="1163"/>
      <c r="AW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706"/>
      <c r="AK55" s="3706"/>
      <c r="AL55" s="3706"/>
      <c r="AM55" s="3706"/>
      <c r="AN55" s="3706"/>
      <c r="AO55" s="3706"/>
      <c r="AP55" s="3706"/>
      <c r="AQ55" s="2106"/>
      <c r="AR55" s="2106"/>
    </row>
    <row customHeight="1" ht="14.25">
      <c r="O56" s="543"/>
      <c r="AJ56" s="3609"/>
      <c r="AK56" s="3609"/>
      <c r="AL56" s="3609"/>
      <c r="AM56" s="3609"/>
      <c r="AN56" s="3609"/>
      <c r="AO56" s="3609"/>
      <c r="AP56" s="3609"/>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706"/>
      <c r="AK57" s="3706"/>
      <c r="AL57" s="3706"/>
      <c r="AM57" s="3706"/>
      <c r="AN57" s="3706"/>
      <c r="AO57" s="3706"/>
      <c r="AP57" s="3706"/>
      <c r="AQ57" s="2106"/>
      <c r="AR57" s="2106"/>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46:AR47"/>
    <mergeCell ref="T55:AR55"/>
    <mergeCell ref="T57:AR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3A271-9EE4-DF1D-40D3-FC3F29930D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4.140625" hidden="1" customWidth="1"/>
    <col min="10" max="10" style="3327" width="9.8515625" hidden="1" customWidth="1"/>
    <col min="11" max="11" style="3327" width="14.7109375" hidden="1" customWidth="1"/>
    <col min="12" max="12" style="3653" width="19.140625" hidden="1" customWidth="1"/>
    <col min="13" max="14" style="3329" width="12.28125" hidden="1" customWidth="1"/>
    <col min="15" max="15" style="3329" width="23.421875" hidden="1" customWidth="1"/>
    <col min="16" max="16" style="3707" width="3.7109375" customWidth="1"/>
    <col min="17" max="18" style="3406" width="3.7109375" customWidth="1"/>
    <col min="19" max="19" style="3407"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7"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27" customFormat="1" customHeight="1" ht="14.25" hidden="1">
      <c r="L19" s="1508"/>
      <c r="M19" s="1392"/>
      <c r="N19" s="1392"/>
      <c r="O19" s="1392"/>
      <c r="P19" s="1392"/>
      <c r="Q19" s="1401"/>
      <c r="R19" s="1401"/>
      <c r="S19" s="735"/>
      <c r="AB19" s="1396"/>
      <c r="AI19" s="1396"/>
      <c r="AL19" s="517"/>
      <c r="AM19" s="517"/>
      <c r="AN19" s="517"/>
      <c r="AO19" s="517"/>
      <c r="AP19" s="517"/>
    </row>
    <row s="3327"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0"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45275.50763888889</v>
      </c>
      <c r="W28" s="2099"/>
      <c r="X28" s="2099"/>
      <c r="Y28" s="2099"/>
      <c r="Z28" s="2099"/>
      <c r="AA28" s="2099"/>
      <c r="AB28" s="322"/>
      <c r="AC28" s="2099" t="str">
        <f>IF(TITLE_DATE_PR_CHANGE="",IF(TITLE_DATE_PR="","",TITLE_DATE_PR),TITLE_DATE_PR_CHANGE)</f>
        <v>45275.50763888889</v>
      </c>
      <c r="AD28" s="2099"/>
      <c r="AE28" s="2099"/>
      <c r="AF28" s="2099"/>
      <c r="AG28" s="2099"/>
      <c r="AH28" s="2099"/>
      <c r="AI28" s="322"/>
      <c r="AJ28" s="322"/>
      <c r="AK28" s="268"/>
      <c r="AL28" s="368"/>
      <c r="AM28" s="368"/>
      <c r="AN28" s="368"/>
      <c r="AO28" s="368"/>
      <c r="AP28" s="368"/>
    </row>
    <row s="3340"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45275.50763888889</v>
      </c>
      <c r="W32" s="2099"/>
      <c r="X32" s="2099"/>
      <c r="Y32" s="2099"/>
      <c r="Z32" s="2099"/>
      <c r="AA32" s="2099"/>
      <c r="AB32" s="322"/>
      <c r="AC32" s="2099" t="str">
        <f>IF(TITLE_DATE_PR_CHANGE="",IF(TITLE_DATE_PR="","",TITLE_DATE_PR),TITLE_DATE_PR_CHANGE)</f>
        <v>45275.50763888889</v>
      </c>
      <c r="AD32" s="2099"/>
      <c r="AE32" s="2099"/>
      <c r="AF32" s="2099"/>
      <c r="AG32" s="2099"/>
      <c r="AH32" s="2099"/>
      <c r="AI32" s="322"/>
      <c r="AJ32" s="322"/>
      <c r="AK32" s="268"/>
      <c r="AL32" s="368"/>
      <c r="AM32" s="368"/>
      <c r="AN32" s="368"/>
      <c r="AO32" s="368"/>
      <c r="AP32" s="368"/>
    </row>
    <row s="3340"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478</v>
      </c>
      <c r="W38" s="2118" t="s">
        <v>425</v>
      </c>
      <c r="X38" s="2120"/>
      <c r="Y38" s="2118" t="s">
        <v>426</v>
      </c>
      <c r="Z38" s="2119"/>
      <c r="AA38" s="2120"/>
      <c r="AB38" s="2130"/>
      <c r="AC38" s="1513" t="s">
        <v>478</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479</v>
      </c>
      <c r="J39" s="1394" t="s">
        <v>432</v>
      </c>
      <c r="K39" s="1394" t="s">
        <v>480</v>
      </c>
      <c r="L39" s="1394" t="s">
        <v>408</v>
      </c>
      <c r="Q39" s="377"/>
      <c r="R39" s="377"/>
      <c r="S39" s="2125"/>
      <c r="T39" s="2062"/>
      <c r="U39" s="290"/>
      <c r="V39" s="1513" t="s">
        <v>506</v>
      </c>
      <c r="W39" s="1237" t="s">
        <v>507</v>
      </c>
      <c r="X39" s="1237" t="s">
        <v>483</v>
      </c>
      <c r="Y39" s="1519" t="s">
        <v>436</v>
      </c>
      <c r="Z39" s="2121" t="s">
        <v>437</v>
      </c>
      <c r="AA39" s="2122"/>
      <c r="AB39" s="2131"/>
      <c r="AC39" s="1513" t="s">
        <v>506</v>
      </c>
      <c r="AD39" s="1237" t="s">
        <v>507</v>
      </c>
      <c r="AE39" s="1237" t="s">
        <v>483</v>
      </c>
      <c r="AF39" s="1519"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504</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510</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259</v>
      </c>
      <c r="B45" s="1393" t="s">
        <v>260</v>
      </c>
      <c r="C45" s="1393" t="s">
        <v>261</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259</v>
      </c>
      <c r="B46" s="1393" t="s">
        <v>260</v>
      </c>
      <c r="C46" s="1393" t="s">
        <v>261</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510</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259</v>
      </c>
      <c r="B49" s="1393" t="s">
        <v>260</v>
      </c>
      <c r="C49" s="1393" t="s">
        <v>261</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510</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254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255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3C69E-2F56-F8B2-E1AC-DE8F9FC1BA36}" mc:Ignorable="x14ac xr xr2 xr3">
  <sheetPr>
    <tabColor theme="6" tint="0.4"/>
  </sheetPr>
  <dimension ref="A1:BH120"/>
  <sheetViews>
    <sheetView topLeftCell="A1" showGridLines="0" zoomScale="80" workbookViewId="0">
      <selection activeCell="AZ74" sqref="AZ74"/>
    </sheetView>
  </sheetViews>
  <sheetFormatPr defaultColWidth="10.57421875" customHeight="1" defaultRowHeight="14.25"/>
  <cols>
    <col min="1" max="1" style="3327" width="11.57421875" hidden="1" customWidth="1"/>
    <col min="2" max="2" style="3327" width="11.00390625" hidden="1" customWidth="1"/>
    <col min="3" max="3" style="3327" width="10.57421875" hidden="1"/>
    <col min="4" max="4" style="3327" width="12.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653"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5" width="32.00390625" customWidth="1"/>
    <col min="21" max="21" style="2975" width="0.140625" customWidth="1"/>
    <col min="22" max="25" style="2975" width="21.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2" style="2975" width="3.7109375" customWidth="1"/>
    <col min="33" max="33" style="2975" width="24.7109375" customWidth="1"/>
    <col min="34" max="36" style="2975" width="3.7109375" customWidth="1"/>
    <col min="37" max="37" style="2975" width="24.7109375" customWidth="1"/>
    <col min="38" max="40" style="2975" width="3.7109375" customWidth="1"/>
    <col min="41" max="41" style="2975" width="18.8515625" customWidth="1"/>
    <col min="42" max="44" style="2975" width="3.7109375" customWidth="1"/>
    <col min="45" max="45" style="2975" width="18.8515625" customWidth="1"/>
    <col min="46" max="49" style="2975" width="21.7109375" customWidth="1"/>
    <col min="50" max="50" style="2975" width="16.19140625" customWidth="1"/>
    <col min="51" max="51" style="2975" width="3.7109375" customWidth="1"/>
    <col min="52" max="52" style="2975" width="18.4140625" customWidth="1"/>
    <col min="53" max="53" style="2975" width="8.57421875" hidden="1" customWidth="1"/>
    <col min="54" max="54" style="2975" width="4.7109375" customWidth="1"/>
    <col min="55" max="55" style="2975"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504</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8"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8"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3" customFormat="1" customHeight="1" ht="14.25" hidden="1">
      <c r="M24" s="1538"/>
      <c r="N24" s="1538"/>
      <c r="O24" s="1539" t="s">
        <v>408</v>
      </c>
      <c r="P24" s="1538"/>
      <c r="Q24" s="1540"/>
      <c r="R24" s="1540"/>
      <c r="AA24" s="1537" t="s">
        <v>410</v>
      </c>
      <c r="AC24" s="1537" t="s">
        <v>411</v>
      </c>
      <c r="AD24" s="1537" t="s">
        <v>457</v>
      </c>
      <c r="AH24" s="1537" t="s">
        <v>457</v>
      </c>
      <c r="AK24" s="1537" t="s">
        <v>493</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0"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промышленности, экономического развития и торговли Республики Марий Эл</v>
      </c>
      <c r="W31" s="2100"/>
      <c r="X31" s="2100"/>
      <c r="Y31" s="2100"/>
      <c r="Z31" s="2100"/>
      <c r="AA31" s="2100"/>
      <c r="AB31" s="2100"/>
      <c r="AC31" s="322"/>
      <c r="AD31" s="2100" t="str">
        <f>IF(TITLE_NAME_OR_PR_CHANGE="",IF(TITLE_NAME_OR_PR="","",TITLE_NAME_OR_PR),TITLE_NAME_OR_PR_CHANGE)</f>
        <v>Министерство промышленности, экономического развития и торговли Республики Марий Эл</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0"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45275.50763888889</v>
      </c>
      <c r="W32" s="2099"/>
      <c r="X32" s="2099"/>
      <c r="Y32" s="2099"/>
      <c r="Z32" s="2099"/>
      <c r="AA32" s="2099"/>
      <c r="AB32" s="2099"/>
      <c r="AC32" s="322"/>
      <c r="AD32" s="2099" t="str">
        <f>IF(TITLE_DATE_PR_CHANGE="",IF(TITLE_DATE_PR="","",TITLE_DATE_PR),TITLE_DATE_PR_CHANGE)</f>
        <v>45275.50763888889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0"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52т, 102т</v>
      </c>
      <c r="W33" s="2100"/>
      <c r="X33" s="2100"/>
      <c r="Y33" s="2100"/>
      <c r="Z33" s="2100"/>
      <c r="AA33" s="2100"/>
      <c r="AB33" s="2100"/>
      <c r="AC33" s="322"/>
      <c r="AD33" s="2100" t="str">
        <f>IF(TITLE_NUMBER_PR_CHANGE="",IF(TITLE_NUMBER_PR="","",TITLE_NUMBER_PR),TITLE_NUMBER_PR_CHANGE)</f>
        <v>52т, 102т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0"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https://mari-el.gov.ru/ministries/mecon/tarif/pages/resheniya-ob-ustanovlenii-tarifov-vodosnabzhenie-vodootvedenie-utilizatsiya-tbo/#close</v>
      </c>
      <c r="W34" s="2100"/>
      <c r="X34" s="2100"/>
      <c r="Y34" s="2100"/>
      <c r="Z34" s="2100"/>
      <c r="AA34" s="2100"/>
      <c r="AB34" s="2100"/>
      <c r="AC34" s="322"/>
      <c r="AD34" s="2100" t="str">
        <f>IF(TITLE_IST_PUB_CHANGE="",IF(TITLE_IST_PUB="","",TITLE_IST_PUB),TITLE_IST_PUB_CHANGE)</f>
        <v>https://mari-el.gov.ru/ministries/mecon/tarif/pages/resheniya-ob-ustanovlenii-tarifov-vodosnabzhenie-vodootvedenie-utilizatsiya-tbo/#close</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0"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45275.50763888889</v>
      </c>
      <c r="W36" s="2099"/>
      <c r="X36" s="2099"/>
      <c r="Y36" s="2099"/>
      <c r="Z36" s="2099"/>
      <c r="AA36" s="2099"/>
      <c r="AB36" s="2099"/>
      <c r="AC36" s="322"/>
      <c r="AD36" s="2099" t="str">
        <f>IF(TITLE_DATE_PR_CHANGE="",IF(TITLE_DATE_PR="","",TITLE_DATE_PR),TITLE_DATE_PR_CHANGE)</f>
        <v>45275.50763888889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0"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52т, 102т</v>
      </c>
      <c r="W37" s="2100"/>
      <c r="X37" s="2100"/>
      <c r="Y37" s="2100"/>
      <c r="Z37" s="2100"/>
      <c r="AA37" s="2100"/>
      <c r="AB37" s="2100"/>
      <c r="AC37" s="322"/>
      <c r="AD37" s="2100" t="str">
        <f>IF(TITLE_NUMBER_PR_CHANGE="",IF(TITLE_NUMBER_PR="","",TITLE_NUMBER_PR),TITLE_NUMBER_PR_CHANGE)</f>
        <v>52т, 102т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494</v>
      </c>
      <c r="U41" s="289"/>
      <c r="V41" s="2126" t="s">
        <v>419</v>
      </c>
      <c r="W41" s="2127"/>
      <c r="X41" s="2127"/>
      <c r="Y41" s="2127"/>
      <c r="Z41" s="2127"/>
      <c r="AA41" s="2127"/>
      <c r="AB41" s="2128"/>
      <c r="AC41" s="2129" t="s">
        <v>420</v>
      </c>
      <c r="AD41" s="2173" t="s">
        <v>513</v>
      </c>
      <c r="AE41" s="2146"/>
      <c r="AF41" s="2146"/>
      <c r="AG41" s="2174"/>
      <c r="AH41" s="2173" t="s">
        <v>514</v>
      </c>
      <c r="AI41" s="2146"/>
      <c r="AJ41" s="2146"/>
      <c r="AK41" s="2174"/>
      <c r="AL41" s="2173" t="s">
        <v>515</v>
      </c>
      <c r="AM41" s="2146"/>
      <c r="AN41" s="2146"/>
      <c r="AO41" s="2174"/>
      <c r="AP41" s="2173" t="s">
        <v>498</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467</v>
      </c>
      <c r="W44" s="1509" t="s">
        <v>468</v>
      </c>
      <c r="X44" s="1509" t="s">
        <v>467</v>
      </c>
      <c r="Y44" s="1509" t="s">
        <v>468</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1</v>
      </c>
      <c r="T46" s="286" t="s">
        <v>121</v>
      </c>
      <c r="U46" s="288"/>
      <c r="V46" s="2102"/>
      <c r="W46" s="2102"/>
      <c r="X46" s="2102"/>
      <c r="Y46" s="2102"/>
      <c r="Z46" s="2102"/>
      <c r="AA46" s="2102"/>
      <c r="AB46" s="2102"/>
      <c r="AC46" s="2103"/>
      <c r="AD46" s="2101" t="str">
        <f>INDEX(PT_DIFFERENTIATION_NTAR,MATCH(A46,PT_DIFFERENTIATION_NTAR_ID,0))</f>
        <v>Подключение (технологическое присоединение) к централизованной системе водоотведения</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1.1</v>
      </c>
      <c r="T47" s="298" t="s">
        <v>389</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1.1.1</v>
      </c>
      <c r="T48" s="299" t="s">
        <v>503</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504</v>
      </c>
      <c r="BE48" s="506"/>
      <c r="BF48" s="506" t="str">
        <f>IF(T48="","",T48)</f>
        <v>Наименование централизованной системы водоотведения</v>
      </c>
      <c r="BG48" s="506"/>
      <c r="BH48" s="506"/>
    </row>
    <row s="2612" customFormat="1" customHeight="1" ht="0">
      <c r="A49" s="1373" t="s">
        <v>266</v>
      </c>
      <c r="B49" s="1373" t="s">
        <v>267</v>
      </c>
      <c r="C49" s="1373" t="s">
        <v>268</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266</v>
      </c>
      <c r="B50" s="1373" t="s">
        <v>267</v>
      </c>
      <c r="C50" s="1373" t="s">
        <v>268</v>
      </c>
      <c r="D50" s="1373" t="s">
        <v>518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266</v>
      </c>
      <c r="B51" s="1373" t="s">
        <v>267</v>
      </c>
      <c r="C51" s="1373" t="s">
        <v>268</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518</v>
      </c>
      <c r="E52" s="2108"/>
      <c r="F52" s="2108"/>
      <c r="G52" s="2108"/>
      <c r="H52" s="2108"/>
      <c r="I52" s="2110"/>
      <c r="J52" s="2110"/>
      <c r="K52" s="2109" t="str">
        <f>S48&amp;".1"</f>
        <v>1.1.1.1</v>
      </c>
      <c r="L52" s="1394"/>
      <c r="P52" s="2111"/>
      <c r="Q52" s="2111"/>
      <c r="R52" s="353">
        <v>1</v>
      </c>
      <c r="S52" s="2184" t="str">
        <f>$K52</f>
        <v>1.1.1.1</v>
      </c>
      <c r="T52" s="2203"/>
      <c r="U52" s="288"/>
      <c r="V52" s="757"/>
      <c r="W52" s="1285"/>
      <c r="X52" s="757"/>
      <c r="Y52" s="1285"/>
      <c r="Z52" s="1774"/>
      <c r="AA52" s="1499" t="s">
        <v>60</v>
      </c>
      <c r="AB52" s="1774"/>
      <c r="AC52" s="1499" t="s">
        <v>60</v>
      </c>
      <c r="AD52" s="2044" t="s">
        <v>60</v>
      </c>
      <c r="AE52" s="2180"/>
      <c r="AF52" s="2057">
        <v>1</v>
      </c>
      <c r="AG52" s="2202">
        <v>250</v>
      </c>
      <c r="AH52" s="1981" t="s">
        <v>60</v>
      </c>
      <c r="AI52" s="2180"/>
      <c r="AJ52" s="2057">
        <v>1</v>
      </c>
      <c r="AK52" s="2201" t="s">
        <v>519</v>
      </c>
      <c r="AL52" s="1981" t="s">
        <v>55</v>
      </c>
      <c r="AM52" s="2029"/>
      <c r="AN52" s="2057">
        <v>1</v>
      </c>
      <c r="AO52" s="3713" t="s">
        <v>24</v>
      </c>
      <c r="AP52" s="2207" t="s">
        <v>60</v>
      </c>
      <c r="AQ52" s="301"/>
      <c r="AR52" s="1516">
        <v>1</v>
      </c>
      <c r="AS52" s="1522" t="s">
        <v>520</v>
      </c>
      <c r="AT52" s="757"/>
      <c r="AU52" s="1285">
        <v>19.491</v>
      </c>
      <c r="AV52" s="757"/>
      <c r="AW52" s="1285">
        <v>7.22</v>
      </c>
      <c r="AX52" s="3624">
        <v>45292.58530092592</v>
      </c>
      <c r="AY52" s="1499" t="s">
        <v>60</v>
      </c>
      <c r="AZ52" s="3624">
        <v>45657.58563657408</v>
      </c>
      <c r="BA52" s="1499" t="s">
        <v>60</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3713" t="s">
        <v>24</v>
      </c>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4.25">
      <c r="A55" s="3714"/>
      <c r="B55" s="3714"/>
      <c r="C55" s="3714"/>
      <c r="D55" s="3714"/>
      <c r="E55" s="3715"/>
      <c r="F55" s="3715"/>
      <c r="G55" s="3715"/>
      <c r="H55" s="3715"/>
      <c r="I55" s="3716"/>
      <c r="J55" s="3716"/>
      <c r="K55" s="3717" t="str">
        <f>S51&amp;".1"</f>
        <v>.1</v>
      </c>
      <c r="L55" s="3718"/>
      <c r="M55" s="3719"/>
      <c r="N55" s="3719"/>
      <c r="O55" s="3719"/>
      <c r="P55" s="3720"/>
      <c r="Q55" s="3720"/>
      <c r="R55" s="3721">
        <v>1</v>
      </c>
      <c r="S55" s="3722" t="str">
        <f>$K55</f>
        <v>.1</v>
      </c>
      <c r="T55" s="3723"/>
      <c r="U55" s="3724"/>
      <c r="V55" s="3622"/>
      <c r="W55" s="3623"/>
      <c r="X55" s="3622"/>
      <c r="Y55" s="3623"/>
      <c r="Z55" s="3624"/>
      <c r="AA55" s="3625" t="s">
        <v>60</v>
      </c>
      <c r="AB55" s="3624"/>
      <c r="AC55" s="3625" t="s">
        <v>60</v>
      </c>
      <c r="AD55" s="2881" t="s">
        <v>60</v>
      </c>
      <c r="AE55" s="3725"/>
      <c r="AF55" s="3726">
        <v>1</v>
      </c>
      <c r="AG55" s="3727"/>
      <c r="AH55" s="3625" t="s">
        <v>60</v>
      </c>
      <c r="AI55" s="3728" t="s">
        <v>505</v>
      </c>
      <c r="AJ55" s="3726" t="s">
        <v>108</v>
      </c>
      <c r="AK55" s="3729" t="s">
        <v>521</v>
      </c>
      <c r="AL55" s="3625" t="s">
        <v>55</v>
      </c>
      <c r="AM55" s="3730"/>
      <c r="AN55" s="3726">
        <v>1</v>
      </c>
      <c r="AO55" s="3731" t="s">
        <v>24</v>
      </c>
      <c r="AP55" s="3732" t="s">
        <v>60</v>
      </c>
      <c r="AQ55" s="3733"/>
      <c r="AR55" s="3726">
        <v>1</v>
      </c>
      <c r="AS55" s="3734" t="s">
        <v>520</v>
      </c>
      <c r="AT55" s="3622"/>
      <c r="AU55" s="3623">
        <v>19.491</v>
      </c>
      <c r="AV55" s="3622"/>
      <c r="AW55" s="3623">
        <v>6.534</v>
      </c>
      <c r="AX55" s="3624">
        <v>45292.585439814815</v>
      </c>
      <c r="AY55" s="3625" t="s">
        <v>60</v>
      </c>
      <c r="AZ55" s="3624">
        <v>45657.58572916667</v>
      </c>
      <c r="BA55" s="3625" t="s">
        <v>60</v>
      </c>
      <c r="BB55" s="3735"/>
      <c r="BC55" s="3736" t="s">
        <v>488</v>
      </c>
      <c r="BD55" s="3663"/>
      <c r="BE55" s="3737"/>
      <c r="BF55" s="3737" t="str">
        <f>IF(T55="","",T55)</f>
        <v/>
      </c>
      <c r="BG55" s="3737"/>
      <c r="BH55" s="3737"/>
    </row>
    <row customHeight="1" ht="14.25">
      <c r="A56" s="3714"/>
      <c r="B56" s="3714"/>
      <c r="C56" s="3714"/>
      <c r="D56" s="3714"/>
      <c r="E56" s="3715"/>
      <c r="F56" s="3715"/>
      <c r="G56" s="3715"/>
      <c r="H56" s="3715"/>
      <c r="I56" s="3716"/>
      <c r="J56" s="3716"/>
      <c r="K56" s="3717"/>
      <c r="L56" s="3718"/>
      <c r="M56" s="3719"/>
      <c r="N56" s="3719"/>
      <c r="O56" s="3719"/>
      <c r="P56" s="3720"/>
      <c r="Q56" s="3720"/>
      <c r="R56" s="3721"/>
      <c r="S56" s="3738"/>
      <c r="T56" s="3739"/>
      <c r="U56" s="3724"/>
      <c r="V56" s="3740"/>
      <c r="W56" s="3741"/>
      <c r="X56" s="3742"/>
      <c r="Y56" s="3743"/>
      <c r="Z56" s="3744"/>
      <c r="AA56" s="3745"/>
      <c r="AB56" s="3746"/>
      <c r="AC56" s="3747"/>
      <c r="AD56" s="2887"/>
      <c r="AE56" s="3725"/>
      <c r="AF56" s="3726"/>
      <c r="AG56" s="3727"/>
      <c r="AH56" s="3625"/>
      <c r="AI56" s="3725"/>
      <c r="AJ56" s="3726">
        <v>1</v>
      </c>
      <c r="AK56" s="3729"/>
      <c r="AL56" s="3625"/>
      <c r="AM56" s="3748"/>
      <c r="AN56" s="3726"/>
      <c r="AO56" s="3731" t="s">
        <v>24</v>
      </c>
      <c r="AP56" s="3749"/>
      <c r="AQ56" s="3750"/>
      <c r="AR56" s="3751"/>
      <c r="AS56" s="3752" t="s">
        <v>489</v>
      </c>
      <c r="AT56" s="3753"/>
      <c r="AU56" s="3754"/>
      <c r="AV56" s="3755"/>
      <c r="AW56" s="3756"/>
      <c r="AX56" s="3757"/>
      <c r="AY56" s="3758"/>
      <c r="AZ56" s="3759"/>
      <c r="BA56" s="3760"/>
      <c r="BB56" s="3761"/>
      <c r="BC56" s="3762"/>
      <c r="BD56" s="3663"/>
      <c r="BE56" s="3737"/>
      <c r="BF56" s="3737"/>
      <c r="BG56" s="3737"/>
      <c r="BH56" s="3737"/>
    </row>
    <row customHeight="1" ht="14.25">
      <c r="A57" s="3714"/>
      <c r="B57" s="3714"/>
      <c r="C57" s="3714"/>
      <c r="D57" s="3714"/>
      <c r="E57" s="3715"/>
      <c r="F57" s="3715"/>
      <c r="G57" s="3715"/>
      <c r="H57" s="3715"/>
      <c r="I57" s="3716"/>
      <c r="J57" s="3716"/>
      <c r="K57" s="3717"/>
      <c r="L57" s="3718"/>
      <c r="M57" s="3719"/>
      <c r="N57" s="3719"/>
      <c r="O57" s="3719"/>
      <c r="P57" s="3720"/>
      <c r="Q57" s="3720"/>
      <c r="R57" s="3721"/>
      <c r="S57" s="3738"/>
      <c r="T57" s="3739"/>
      <c r="U57" s="3724"/>
      <c r="V57" s="3763"/>
      <c r="W57" s="3764"/>
      <c r="X57" s="3765"/>
      <c r="Y57" s="3766"/>
      <c r="Z57" s="3767"/>
      <c r="AA57" s="3768"/>
      <c r="AB57" s="3769"/>
      <c r="AC57" s="3770"/>
      <c r="AD57" s="2887"/>
      <c r="AE57" s="3725"/>
      <c r="AF57" s="3726"/>
      <c r="AG57" s="3727"/>
      <c r="AH57" s="3625"/>
      <c r="AI57" s="3725"/>
      <c r="AJ57" s="3726">
        <v>1</v>
      </c>
      <c r="AK57" s="3729"/>
      <c r="AL57" s="3625"/>
      <c r="AM57" s="3771"/>
      <c r="AN57" s="3772"/>
      <c r="AO57" s="3773" t="s">
        <v>511</v>
      </c>
      <c r="AP57" s="3774"/>
      <c r="AQ57" s="3775"/>
      <c r="AR57" s="3776"/>
      <c r="AS57" s="3777"/>
      <c r="AT57" s="3778"/>
      <c r="AU57" s="3779"/>
      <c r="AV57" s="3780"/>
      <c r="AW57" s="3781"/>
      <c r="AX57" s="3782"/>
      <c r="AY57" s="3783"/>
      <c r="AZ57" s="3784"/>
      <c r="BA57" s="3785"/>
      <c r="BB57" s="3786"/>
      <c r="BC57" s="3762"/>
      <c r="BD57" s="3663"/>
      <c r="BE57" s="3737"/>
      <c r="BF57" s="3737"/>
      <c r="BG57" s="3737"/>
      <c r="BH57" s="3737"/>
    </row>
    <row customHeight="1" ht="11.25">
      <c r="A58" s="1393" t="s">
        <v>266</v>
      </c>
      <c r="B58" s="1393"/>
      <c r="C58" s="1393"/>
      <c r="D58" s="1393"/>
      <c r="E58" s="2108"/>
      <c r="F58" s="2108"/>
      <c r="G58" s="2108"/>
      <c r="H58" s="2108"/>
      <c r="I58" s="2110"/>
      <c r="J58" s="2110"/>
      <c r="K58" s="2109"/>
      <c r="L58" s="1394"/>
      <c r="P58" s="2111"/>
      <c r="Q58" s="2111"/>
      <c r="R58" s="353"/>
      <c r="S58" s="2185"/>
      <c r="T58" s="2204"/>
      <c r="U58" s="288"/>
      <c r="V58" s="1423"/>
      <c r="W58" s="1526"/>
      <c r="X58" s="1423"/>
      <c r="Y58" s="1526"/>
      <c r="Z58" s="1423"/>
      <c r="AA58" s="1423"/>
      <c r="AB58" s="1423"/>
      <c r="AC58" s="1423"/>
      <c r="AD58" s="2045"/>
      <c r="AE58" s="2180"/>
      <c r="AF58" s="2057"/>
      <c r="AG58" s="2202"/>
      <c r="AH58" s="1981"/>
      <c r="AI58" s="282"/>
      <c r="AJ58" s="421"/>
      <c r="AK58" s="303" t="s">
        <v>512</v>
      </c>
      <c r="AL58" s="1423"/>
      <c r="AM58" s="1423"/>
      <c r="AN58" s="1423"/>
      <c r="AO58" s="1423"/>
      <c r="AP58" s="1423"/>
      <c r="AQ58" s="1423"/>
      <c r="AR58" s="1423"/>
      <c r="AS58" s="1423"/>
      <c r="AT58" s="1423"/>
      <c r="AU58" s="1526"/>
      <c r="AV58" s="1423"/>
      <c r="AW58" s="1526"/>
      <c r="AX58" s="1423"/>
      <c r="AY58" s="1423"/>
      <c r="AZ58" s="1423"/>
      <c r="BA58" s="1423"/>
      <c r="BB58" s="1427"/>
      <c r="BC58" s="2138"/>
      <c r="BE58" s="506"/>
      <c r="BF58" s="506"/>
      <c r="BG58" s="506"/>
      <c r="BH58" s="506"/>
    </row>
    <row customHeight="1" ht="14.25">
      <c r="A59" s="3714"/>
      <c r="B59" s="3714"/>
      <c r="C59" s="3714"/>
      <c r="D59" s="3714"/>
      <c r="E59" s="3715"/>
      <c r="F59" s="3715"/>
      <c r="G59" s="3715"/>
      <c r="H59" s="3715"/>
      <c r="I59" s="3716"/>
      <c r="J59" s="3716"/>
      <c r="K59" s="3717" t="str">
        <f>S52&amp;".1"</f>
        <v>1.1.1.1.1</v>
      </c>
      <c r="L59" s="3718"/>
      <c r="M59" s="3719"/>
      <c r="N59" s="3719"/>
      <c r="O59" s="3719"/>
      <c r="P59" s="3720"/>
      <c r="Q59" s="3720"/>
      <c r="R59" s="3721">
        <v>1</v>
      </c>
      <c r="S59" s="3722" t="str">
        <f>$K59</f>
        <v>1.1.1.1.1</v>
      </c>
      <c r="T59" s="3723"/>
      <c r="U59" s="3724"/>
      <c r="V59" s="3622"/>
      <c r="W59" s="3623"/>
      <c r="X59" s="3622"/>
      <c r="Y59" s="3623"/>
      <c r="Z59" s="3624"/>
      <c r="AA59" s="3625" t="s">
        <v>60</v>
      </c>
      <c r="AB59" s="3624"/>
      <c r="AC59" s="3625" t="s">
        <v>60</v>
      </c>
      <c r="AD59" s="2881" t="s">
        <v>60</v>
      </c>
      <c r="AE59" s="3728" t="s">
        <v>505</v>
      </c>
      <c r="AF59" s="3726" t="s">
        <v>108</v>
      </c>
      <c r="AG59" s="3727">
        <v>250</v>
      </c>
      <c r="AH59" s="3625" t="s">
        <v>60</v>
      </c>
      <c r="AI59" s="3725"/>
      <c r="AJ59" s="3726">
        <v>1</v>
      </c>
      <c r="AK59" s="3729" t="s">
        <v>519</v>
      </c>
      <c r="AL59" s="3625" t="s">
        <v>55</v>
      </c>
      <c r="AM59" s="3730"/>
      <c r="AN59" s="3726">
        <v>1</v>
      </c>
      <c r="AO59" s="3731" t="s">
        <v>24</v>
      </c>
      <c r="AP59" s="3732" t="s">
        <v>60</v>
      </c>
      <c r="AQ59" s="3733"/>
      <c r="AR59" s="3726">
        <v>1</v>
      </c>
      <c r="AS59" s="3734" t="s">
        <v>522</v>
      </c>
      <c r="AT59" s="3622"/>
      <c r="AU59" s="3623">
        <v>19.491</v>
      </c>
      <c r="AV59" s="3622"/>
      <c r="AW59" s="3623">
        <v>8.321</v>
      </c>
      <c r="AX59" s="3624">
        <v>45292.585497685184</v>
      </c>
      <c r="AY59" s="3625" t="s">
        <v>60</v>
      </c>
      <c r="AZ59" s="3624">
        <v>45657.58582175926</v>
      </c>
      <c r="BA59" s="3625" t="s">
        <v>60</v>
      </c>
      <c r="BB59" s="3735"/>
      <c r="BC59" s="3736" t="s">
        <v>488</v>
      </c>
      <c r="BD59" s="3663"/>
      <c r="BE59" s="3737"/>
      <c r="BF59" s="3737" t="str">
        <f>IF(T59="","",T59)</f>
        <v/>
      </c>
      <c r="BG59" s="3737"/>
      <c r="BH59" s="3737"/>
    </row>
    <row customHeight="1" ht="14.25">
      <c r="A60" s="3714"/>
      <c r="B60" s="3714"/>
      <c r="C60" s="3714"/>
      <c r="D60" s="3714"/>
      <c r="E60" s="3715"/>
      <c r="F60" s="3715"/>
      <c r="G60" s="3715"/>
      <c r="H60" s="3715"/>
      <c r="I60" s="3716"/>
      <c r="J60" s="3716"/>
      <c r="K60" s="3717"/>
      <c r="L60" s="3718"/>
      <c r="M60" s="3719"/>
      <c r="N60" s="3719"/>
      <c r="O60" s="3719"/>
      <c r="P60" s="3720"/>
      <c r="Q60" s="3720"/>
      <c r="R60" s="3721"/>
      <c r="S60" s="3738"/>
      <c r="T60" s="3739"/>
      <c r="U60" s="3724"/>
      <c r="V60" s="3787"/>
      <c r="W60" s="3788"/>
      <c r="X60" s="3789"/>
      <c r="Y60" s="3790"/>
      <c r="Z60" s="3791"/>
      <c r="AA60" s="3792"/>
      <c r="AB60" s="3793"/>
      <c r="AC60" s="3794"/>
      <c r="AD60" s="2887"/>
      <c r="AE60" s="3725"/>
      <c r="AF60" s="3726">
        <v>1</v>
      </c>
      <c r="AG60" s="3727"/>
      <c r="AH60" s="3625"/>
      <c r="AI60" s="3725"/>
      <c r="AJ60" s="3726"/>
      <c r="AK60" s="3729"/>
      <c r="AL60" s="3625"/>
      <c r="AM60" s="3748"/>
      <c r="AN60" s="3726"/>
      <c r="AO60" s="3731" t="s">
        <v>24</v>
      </c>
      <c r="AP60" s="3749"/>
      <c r="AQ60" s="3795"/>
      <c r="AR60" s="3796"/>
      <c r="AS60" s="3797" t="s">
        <v>489</v>
      </c>
      <c r="AT60" s="3798"/>
      <c r="AU60" s="3799"/>
      <c r="AV60" s="3800"/>
      <c r="AW60" s="3801"/>
      <c r="AX60" s="3802"/>
      <c r="AY60" s="3803"/>
      <c r="AZ60" s="3804"/>
      <c r="BA60" s="3805"/>
      <c r="BB60" s="3806"/>
      <c r="BC60" s="3762"/>
      <c r="BD60" s="3663"/>
      <c r="BE60" s="3737"/>
      <c r="BF60" s="3737"/>
      <c r="BG60" s="3737"/>
      <c r="BH60" s="3737"/>
    </row>
    <row customHeight="1" ht="14.25">
      <c r="A61" s="3714"/>
      <c r="B61" s="3714"/>
      <c r="C61" s="3714"/>
      <c r="D61" s="3714"/>
      <c r="E61" s="3715"/>
      <c r="F61" s="3715"/>
      <c r="G61" s="3715"/>
      <c r="H61" s="3715"/>
      <c r="I61" s="3716"/>
      <c r="J61" s="3716"/>
      <c r="K61" s="3717"/>
      <c r="L61" s="3718"/>
      <c r="M61" s="3719"/>
      <c r="N61" s="3719"/>
      <c r="O61" s="3719"/>
      <c r="P61" s="3720"/>
      <c r="Q61" s="3720"/>
      <c r="R61" s="3721"/>
      <c r="S61" s="3738"/>
      <c r="T61" s="3739"/>
      <c r="U61" s="3724"/>
      <c r="V61" s="3807"/>
      <c r="W61" s="3808"/>
      <c r="X61" s="3809"/>
      <c r="Y61" s="3810"/>
      <c r="Z61" s="3811"/>
      <c r="AA61" s="3812"/>
      <c r="AB61" s="3813"/>
      <c r="AC61" s="3814"/>
      <c r="AD61" s="2887"/>
      <c r="AE61" s="3725"/>
      <c r="AF61" s="3726">
        <v>1</v>
      </c>
      <c r="AG61" s="3727"/>
      <c r="AH61" s="3625"/>
      <c r="AI61" s="3725"/>
      <c r="AJ61" s="3726"/>
      <c r="AK61" s="3729"/>
      <c r="AL61" s="3625"/>
      <c r="AM61" s="3815"/>
      <c r="AN61" s="3816"/>
      <c r="AO61" s="3817" t="s">
        <v>511</v>
      </c>
      <c r="AP61" s="3818"/>
      <c r="AQ61" s="3819"/>
      <c r="AR61" s="3820"/>
      <c r="AS61" s="3821"/>
      <c r="AT61" s="3822"/>
      <c r="AU61" s="3823"/>
      <c r="AV61" s="3824"/>
      <c r="AW61" s="3825"/>
      <c r="AX61" s="3826"/>
      <c r="AY61" s="3827"/>
      <c r="AZ61" s="3828"/>
      <c r="BA61" s="3829"/>
      <c r="BB61" s="3830"/>
      <c r="BC61" s="3762"/>
      <c r="BD61" s="3663"/>
      <c r="BE61" s="3737"/>
      <c r="BF61" s="3737"/>
      <c r="BG61" s="3737"/>
      <c r="BH61" s="3737"/>
    </row>
    <row customHeight="1" ht="14.25">
      <c r="A62" s="3714"/>
      <c r="B62" s="3714"/>
      <c r="C62" s="3714"/>
      <c r="D62" s="3714"/>
      <c r="E62" s="3715"/>
      <c r="F62" s="3715"/>
      <c r="G62" s="3715"/>
      <c r="H62" s="3715"/>
      <c r="I62" s="3716"/>
      <c r="J62" s="3716"/>
      <c r="K62" s="3717" t="str">
        <f>S58&amp;".1"</f>
        <v>.1</v>
      </c>
      <c r="L62" s="3718"/>
      <c r="M62" s="3719"/>
      <c r="N62" s="3719"/>
      <c r="O62" s="3719"/>
      <c r="P62" s="3720"/>
      <c r="Q62" s="3720"/>
      <c r="R62" s="3721">
        <v>1</v>
      </c>
      <c r="S62" s="3722" t="str">
        <f>$K62</f>
        <v>.1</v>
      </c>
      <c r="T62" s="3723"/>
      <c r="U62" s="3724"/>
      <c r="V62" s="3622"/>
      <c r="W62" s="3623"/>
      <c r="X62" s="3622"/>
      <c r="Y62" s="3623"/>
      <c r="Z62" s="3624"/>
      <c r="AA62" s="3625" t="s">
        <v>60</v>
      </c>
      <c r="AB62" s="3624"/>
      <c r="AC62" s="3625" t="s">
        <v>60</v>
      </c>
      <c r="AD62" s="2881" t="s">
        <v>60</v>
      </c>
      <c r="AE62" s="3725"/>
      <c r="AF62" s="3726">
        <v>1</v>
      </c>
      <c r="AG62" s="3727"/>
      <c r="AH62" s="3625" t="s">
        <v>60</v>
      </c>
      <c r="AI62" s="3728" t="s">
        <v>505</v>
      </c>
      <c r="AJ62" s="3726" t="s">
        <v>108</v>
      </c>
      <c r="AK62" s="3729" t="s">
        <v>521</v>
      </c>
      <c r="AL62" s="3625" t="s">
        <v>55</v>
      </c>
      <c r="AM62" s="3730"/>
      <c r="AN62" s="3726">
        <v>1</v>
      </c>
      <c r="AO62" s="3731" t="s">
        <v>24</v>
      </c>
      <c r="AP62" s="3732" t="s">
        <v>60</v>
      </c>
      <c r="AQ62" s="3733"/>
      <c r="AR62" s="3726">
        <v>1</v>
      </c>
      <c r="AS62" s="3734" t="s">
        <v>522</v>
      </c>
      <c r="AT62" s="3622"/>
      <c r="AU62" s="3623">
        <v>19.491</v>
      </c>
      <c r="AV62" s="3622"/>
      <c r="AW62" s="3623">
        <v>8.573</v>
      </c>
      <c r="AX62" s="3624">
        <v>45292.58555555555</v>
      </c>
      <c r="AY62" s="3625" t="s">
        <v>60</v>
      </c>
      <c r="AZ62" s="3624">
        <v>45657.585914351854</v>
      </c>
      <c r="BA62" s="3625" t="s">
        <v>60</v>
      </c>
      <c r="BB62" s="3735"/>
      <c r="BC62" s="3736" t="s">
        <v>488</v>
      </c>
      <c r="BD62" s="3663"/>
      <c r="BE62" s="3737"/>
      <c r="BF62" s="3737" t="str">
        <f>IF(T62="","",T62)</f>
        <v/>
      </c>
      <c r="BG62" s="3737"/>
      <c r="BH62" s="3737"/>
    </row>
    <row customHeight="1" ht="14.25">
      <c r="A63" s="3714"/>
      <c r="B63" s="3714"/>
      <c r="C63" s="3714"/>
      <c r="D63" s="3714"/>
      <c r="E63" s="3715"/>
      <c r="F63" s="3715"/>
      <c r="G63" s="3715"/>
      <c r="H63" s="3715"/>
      <c r="I63" s="3716"/>
      <c r="J63" s="3716"/>
      <c r="K63" s="3717"/>
      <c r="L63" s="3718"/>
      <c r="M63" s="3719"/>
      <c r="N63" s="3719"/>
      <c r="O63" s="3719"/>
      <c r="P63" s="3720"/>
      <c r="Q63" s="3720"/>
      <c r="R63" s="3721"/>
      <c r="S63" s="3738"/>
      <c r="T63" s="3739"/>
      <c r="U63" s="3724"/>
      <c r="V63" s="3831"/>
      <c r="W63" s="3832"/>
      <c r="X63" s="3833"/>
      <c r="Y63" s="3834"/>
      <c r="Z63" s="3835"/>
      <c r="AA63" s="3836"/>
      <c r="AB63" s="3837"/>
      <c r="AC63" s="3838"/>
      <c r="AD63" s="2887"/>
      <c r="AE63" s="3725"/>
      <c r="AF63" s="3726"/>
      <c r="AG63" s="3727"/>
      <c r="AH63" s="3625"/>
      <c r="AI63" s="3725"/>
      <c r="AJ63" s="3726">
        <v>1</v>
      </c>
      <c r="AK63" s="3729"/>
      <c r="AL63" s="3625"/>
      <c r="AM63" s="3748"/>
      <c r="AN63" s="3726"/>
      <c r="AO63" s="3731" t="s">
        <v>24</v>
      </c>
      <c r="AP63" s="3749"/>
      <c r="AQ63" s="3839"/>
      <c r="AR63" s="3840"/>
      <c r="AS63" s="3841" t="s">
        <v>489</v>
      </c>
      <c r="AT63" s="3842"/>
      <c r="AU63" s="3843"/>
      <c r="AV63" s="3844"/>
      <c r="AW63" s="3845"/>
      <c r="AX63" s="3846"/>
      <c r="AY63" s="3847"/>
      <c r="AZ63" s="3848"/>
      <c r="BA63" s="3849"/>
      <c r="BB63" s="3850"/>
      <c r="BC63" s="3762"/>
      <c r="BD63" s="3663"/>
      <c r="BE63" s="3737"/>
      <c r="BF63" s="3737"/>
      <c r="BG63" s="3737"/>
      <c r="BH63" s="3737"/>
    </row>
    <row customHeight="1" ht="14.25">
      <c r="A64" s="3714"/>
      <c r="B64" s="3714"/>
      <c r="C64" s="3714"/>
      <c r="D64" s="3714"/>
      <c r="E64" s="3715"/>
      <c r="F64" s="3715"/>
      <c r="G64" s="3715"/>
      <c r="H64" s="3715"/>
      <c r="I64" s="3716"/>
      <c r="J64" s="3716"/>
      <c r="K64" s="3717"/>
      <c r="L64" s="3718"/>
      <c r="M64" s="3719"/>
      <c r="N64" s="3719"/>
      <c r="O64" s="3719"/>
      <c r="P64" s="3720"/>
      <c r="Q64" s="3720"/>
      <c r="R64" s="3721"/>
      <c r="S64" s="3738"/>
      <c r="T64" s="3739"/>
      <c r="U64" s="3724"/>
      <c r="V64" s="3851"/>
      <c r="W64" s="3852"/>
      <c r="X64" s="3853"/>
      <c r="Y64" s="3854"/>
      <c r="Z64" s="3855"/>
      <c r="AA64" s="3856"/>
      <c r="AB64" s="3857"/>
      <c r="AC64" s="3858"/>
      <c r="AD64" s="2887"/>
      <c r="AE64" s="3725"/>
      <c r="AF64" s="3726"/>
      <c r="AG64" s="3727"/>
      <c r="AH64" s="3625"/>
      <c r="AI64" s="3725"/>
      <c r="AJ64" s="3726">
        <v>1</v>
      </c>
      <c r="AK64" s="3729"/>
      <c r="AL64" s="3625"/>
      <c r="AM64" s="3859"/>
      <c r="AN64" s="3860"/>
      <c r="AO64" s="3861" t="s">
        <v>511</v>
      </c>
      <c r="AP64" s="3862"/>
      <c r="AQ64" s="3863"/>
      <c r="AR64" s="3864"/>
      <c r="AS64" s="3865"/>
      <c r="AT64" s="3866"/>
      <c r="AU64" s="3867"/>
      <c r="AV64" s="3868"/>
      <c r="AW64" s="3869"/>
      <c r="AX64" s="3870"/>
      <c r="AY64" s="3871"/>
      <c r="AZ64" s="3872"/>
      <c r="BA64" s="3873"/>
      <c r="BB64" s="3874"/>
      <c r="BC64" s="3762"/>
      <c r="BD64" s="3663"/>
      <c r="BE64" s="3737"/>
      <c r="BF64" s="3737"/>
      <c r="BG64" s="3737"/>
      <c r="BH64" s="3737"/>
    </row>
    <row customHeight="1" ht="14.25">
      <c r="A65" s="3714"/>
      <c r="B65" s="3714"/>
      <c r="C65" s="3714"/>
      <c r="D65" s="3714"/>
      <c r="E65" s="3715"/>
      <c r="F65" s="3715"/>
      <c r="G65" s="3715"/>
      <c r="H65" s="3715"/>
      <c r="I65" s="3716"/>
      <c r="J65" s="3716"/>
      <c r="K65" s="3717"/>
      <c r="L65" s="3718"/>
      <c r="M65" s="3719"/>
      <c r="N65" s="3719"/>
      <c r="O65" s="3719"/>
      <c r="P65" s="3720"/>
      <c r="Q65" s="3720"/>
      <c r="R65" s="3721"/>
      <c r="S65" s="3738"/>
      <c r="T65" s="3739"/>
      <c r="U65" s="3724"/>
      <c r="V65" s="3875"/>
      <c r="W65" s="3876"/>
      <c r="X65" s="3877"/>
      <c r="Y65" s="3878"/>
      <c r="Z65" s="3879"/>
      <c r="AA65" s="3880"/>
      <c r="AB65" s="3881"/>
      <c r="AC65" s="3882"/>
      <c r="AD65" s="2887"/>
      <c r="AE65" s="3725"/>
      <c r="AF65" s="3726">
        <v>1</v>
      </c>
      <c r="AG65" s="3727"/>
      <c r="AH65" s="3625"/>
      <c r="AI65" s="3883"/>
      <c r="AJ65" s="3884"/>
      <c r="AK65" s="3885" t="s">
        <v>512</v>
      </c>
      <c r="AL65" s="3886"/>
      <c r="AM65" s="3887"/>
      <c r="AN65" s="3888"/>
      <c r="AO65" s="3889"/>
      <c r="AP65" s="3890"/>
      <c r="AQ65" s="3891"/>
      <c r="AR65" s="3892"/>
      <c r="AS65" s="3893"/>
      <c r="AT65" s="3894"/>
      <c r="AU65" s="3895"/>
      <c r="AV65" s="3896"/>
      <c r="AW65" s="3897"/>
      <c r="AX65" s="3898"/>
      <c r="AY65" s="3899"/>
      <c r="AZ65" s="3900"/>
      <c r="BA65" s="3901"/>
      <c r="BB65" s="3902"/>
      <c r="BC65" s="3762"/>
      <c r="BD65" s="3663"/>
      <c r="BE65" s="3737"/>
      <c r="BF65" s="3737"/>
      <c r="BG65" s="3737"/>
      <c r="BH65" s="3737"/>
    </row>
    <row customHeight="1" ht="14.25">
      <c r="A66" s="3714"/>
      <c r="B66" s="3714"/>
      <c r="C66" s="3714"/>
      <c r="D66" s="3714"/>
      <c r="E66" s="3715"/>
      <c r="F66" s="3715"/>
      <c r="G66" s="3715"/>
      <c r="H66" s="3715"/>
      <c r="I66" s="3716"/>
      <c r="J66" s="3716"/>
      <c r="K66" s="3717" t="str">
        <f>S59&amp;".1"</f>
        <v>1.1.1.1.1.1</v>
      </c>
      <c r="L66" s="3718"/>
      <c r="M66" s="3719"/>
      <c r="N66" s="3719"/>
      <c r="O66" s="3719"/>
      <c r="P66" s="3720"/>
      <c r="Q66" s="3720"/>
      <c r="R66" s="3721">
        <v>1</v>
      </c>
      <c r="S66" s="3722" t="str">
        <f>$K66</f>
        <v>1.1.1.1.1.1</v>
      </c>
      <c r="T66" s="3723"/>
      <c r="U66" s="3724"/>
      <c r="V66" s="3622"/>
      <c r="W66" s="3623"/>
      <c r="X66" s="3622"/>
      <c r="Y66" s="3623"/>
      <c r="Z66" s="3624"/>
      <c r="AA66" s="3625" t="s">
        <v>60</v>
      </c>
      <c r="AB66" s="3624"/>
      <c r="AC66" s="3625" t="s">
        <v>60</v>
      </c>
      <c r="AD66" s="2881" t="s">
        <v>60</v>
      </c>
      <c r="AE66" s="3728" t="s">
        <v>505</v>
      </c>
      <c r="AF66" s="3726" t="s">
        <v>88</v>
      </c>
      <c r="AG66" s="3727">
        <v>250</v>
      </c>
      <c r="AH66" s="3625" t="s">
        <v>60</v>
      </c>
      <c r="AI66" s="3725"/>
      <c r="AJ66" s="3726">
        <v>1</v>
      </c>
      <c r="AK66" s="3729" t="s">
        <v>519</v>
      </c>
      <c r="AL66" s="3625" t="s">
        <v>55</v>
      </c>
      <c r="AM66" s="3730"/>
      <c r="AN66" s="3726">
        <v>1</v>
      </c>
      <c r="AO66" s="3731" t="s">
        <v>24</v>
      </c>
      <c r="AP66" s="3732" t="s">
        <v>60</v>
      </c>
      <c r="AQ66" s="3733"/>
      <c r="AR66" s="3726">
        <v>1</v>
      </c>
      <c r="AS66" s="3734" t="s">
        <v>523</v>
      </c>
      <c r="AT66" s="3622"/>
      <c r="AU66" s="3623">
        <v>19.491</v>
      </c>
      <c r="AV66" s="3622"/>
      <c r="AW66" s="3623">
        <v>86.736</v>
      </c>
      <c r="AX66" s="3624">
        <v>45292.58604166667</v>
      </c>
      <c r="AY66" s="3625" t="s">
        <v>60</v>
      </c>
      <c r="AZ66" s="3624">
        <v>45657.58609953704</v>
      </c>
      <c r="BA66" s="3625" t="s">
        <v>60</v>
      </c>
      <c r="BB66" s="3735"/>
      <c r="BC66" s="3736" t="s">
        <v>488</v>
      </c>
      <c r="BD66" s="3663"/>
      <c r="BE66" s="3737"/>
      <c r="BF66" s="3737" t="str">
        <f>IF(T66="","",T66)</f>
        <v/>
      </c>
      <c r="BG66" s="3737"/>
      <c r="BH66" s="3737"/>
    </row>
    <row customHeight="1" ht="14.25">
      <c r="A67" s="3714"/>
      <c r="B67" s="3714"/>
      <c r="C67" s="3714"/>
      <c r="D67" s="3714"/>
      <c r="E67" s="3715"/>
      <c r="F67" s="3715"/>
      <c r="G67" s="3715"/>
      <c r="H67" s="3715"/>
      <c r="I67" s="3716"/>
      <c r="J67" s="3716"/>
      <c r="K67" s="3717"/>
      <c r="L67" s="3718"/>
      <c r="M67" s="3719"/>
      <c r="N67" s="3719"/>
      <c r="O67" s="3719"/>
      <c r="P67" s="3720"/>
      <c r="Q67" s="3720"/>
      <c r="R67" s="3721"/>
      <c r="S67" s="3738"/>
      <c r="T67" s="3739"/>
      <c r="U67" s="3724"/>
      <c r="V67" s="3903"/>
      <c r="W67" s="3904"/>
      <c r="X67" s="3905"/>
      <c r="Y67" s="3906"/>
      <c r="Z67" s="3907"/>
      <c r="AA67" s="3908"/>
      <c r="AB67" s="3909"/>
      <c r="AC67" s="3910"/>
      <c r="AD67" s="2887"/>
      <c r="AE67" s="3725"/>
      <c r="AF67" s="3726" t="s">
        <v>108</v>
      </c>
      <c r="AG67" s="3727"/>
      <c r="AH67" s="3625"/>
      <c r="AI67" s="3725"/>
      <c r="AJ67" s="3726"/>
      <c r="AK67" s="3729"/>
      <c r="AL67" s="3625"/>
      <c r="AM67" s="3748"/>
      <c r="AN67" s="3726"/>
      <c r="AO67" s="3731" t="s">
        <v>24</v>
      </c>
      <c r="AP67" s="3749"/>
      <c r="AQ67" s="3911"/>
      <c r="AR67" s="3912"/>
      <c r="AS67" s="3913" t="s">
        <v>489</v>
      </c>
      <c r="AT67" s="3914"/>
      <c r="AU67" s="3915"/>
      <c r="AV67" s="3916"/>
      <c r="AW67" s="3917"/>
      <c r="AX67" s="3918"/>
      <c r="AY67" s="3919"/>
      <c r="AZ67" s="3920"/>
      <c r="BA67" s="3921"/>
      <c r="BB67" s="3922"/>
      <c r="BC67" s="3762"/>
      <c r="BD67" s="3663"/>
      <c r="BE67" s="3737"/>
      <c r="BF67" s="3737"/>
      <c r="BG67" s="3737"/>
      <c r="BH67" s="3737"/>
    </row>
    <row customHeight="1" ht="14.25">
      <c r="A68" s="3714"/>
      <c r="B68" s="3714"/>
      <c r="C68" s="3714"/>
      <c r="D68" s="3714"/>
      <c r="E68" s="3715"/>
      <c r="F68" s="3715"/>
      <c r="G68" s="3715"/>
      <c r="H68" s="3715"/>
      <c r="I68" s="3716"/>
      <c r="J68" s="3716"/>
      <c r="K68" s="3717"/>
      <c r="L68" s="3718"/>
      <c r="M68" s="3719"/>
      <c r="N68" s="3719"/>
      <c r="O68" s="3719"/>
      <c r="P68" s="3720"/>
      <c r="Q68" s="3720"/>
      <c r="R68" s="3721"/>
      <c r="S68" s="3738"/>
      <c r="T68" s="3739"/>
      <c r="U68" s="3724"/>
      <c r="V68" s="3923"/>
      <c r="W68" s="3924"/>
      <c r="X68" s="3925"/>
      <c r="Y68" s="3926"/>
      <c r="Z68" s="3927"/>
      <c r="AA68" s="3928"/>
      <c r="AB68" s="3929"/>
      <c r="AC68" s="3930"/>
      <c r="AD68" s="2887"/>
      <c r="AE68" s="3725"/>
      <c r="AF68" s="3726" t="s">
        <v>108</v>
      </c>
      <c r="AG68" s="3727"/>
      <c r="AH68" s="3625"/>
      <c r="AI68" s="3725"/>
      <c r="AJ68" s="3726"/>
      <c r="AK68" s="3729"/>
      <c r="AL68" s="3625"/>
      <c r="AM68" s="3931"/>
      <c r="AN68" s="3932"/>
      <c r="AO68" s="3933" t="s">
        <v>511</v>
      </c>
      <c r="AP68" s="3934"/>
      <c r="AQ68" s="3935"/>
      <c r="AR68" s="3936"/>
      <c r="AS68" s="3937"/>
      <c r="AT68" s="3938"/>
      <c r="AU68" s="3939"/>
      <c r="AV68" s="3940"/>
      <c r="AW68" s="3941"/>
      <c r="AX68" s="3942"/>
      <c r="AY68" s="3943"/>
      <c r="AZ68" s="3944"/>
      <c r="BA68" s="3945"/>
      <c r="BB68" s="3946"/>
      <c r="BC68" s="3762"/>
      <c r="BD68" s="3663"/>
      <c r="BE68" s="3737"/>
      <c r="BF68" s="3737"/>
      <c r="BG68" s="3737"/>
      <c r="BH68" s="3737"/>
    </row>
    <row customHeight="1" ht="14.25">
      <c r="A69" s="3714"/>
      <c r="B69" s="3714"/>
      <c r="C69" s="3714"/>
      <c r="D69" s="3714"/>
      <c r="E69" s="3715"/>
      <c r="F69" s="3715"/>
      <c r="G69" s="3715"/>
      <c r="H69" s="3715"/>
      <c r="I69" s="3716"/>
      <c r="J69" s="3716"/>
      <c r="K69" s="3717" t="str">
        <f>S65&amp;".1"</f>
        <v>.1</v>
      </c>
      <c r="L69" s="3718"/>
      <c r="M69" s="3719"/>
      <c r="N69" s="3719"/>
      <c r="O69" s="3719"/>
      <c r="P69" s="3720"/>
      <c r="Q69" s="3720"/>
      <c r="R69" s="3721">
        <v>1</v>
      </c>
      <c r="S69" s="3722" t="str">
        <f>$K69</f>
        <v>.1</v>
      </c>
      <c r="T69" s="3723"/>
      <c r="U69" s="3724"/>
      <c r="V69" s="3622"/>
      <c r="W69" s="3623"/>
      <c r="X69" s="3622"/>
      <c r="Y69" s="3623"/>
      <c r="Z69" s="3624"/>
      <c r="AA69" s="3625" t="s">
        <v>60</v>
      </c>
      <c r="AB69" s="3624"/>
      <c r="AC69" s="3625" t="s">
        <v>60</v>
      </c>
      <c r="AD69" s="2881" t="s">
        <v>60</v>
      </c>
      <c r="AE69" s="3725"/>
      <c r="AF69" s="3726">
        <v>1</v>
      </c>
      <c r="AG69" s="3727"/>
      <c r="AH69" s="3625" t="s">
        <v>60</v>
      </c>
      <c r="AI69" s="3728" t="s">
        <v>505</v>
      </c>
      <c r="AJ69" s="3726" t="s">
        <v>108</v>
      </c>
      <c r="AK69" s="3729" t="s">
        <v>521</v>
      </c>
      <c r="AL69" s="3625" t="s">
        <v>55</v>
      </c>
      <c r="AM69" s="3730"/>
      <c r="AN69" s="3726">
        <v>1</v>
      </c>
      <c r="AO69" s="3731" t="s">
        <v>24</v>
      </c>
      <c r="AP69" s="3732" t="s">
        <v>60</v>
      </c>
      <c r="AQ69" s="3733"/>
      <c r="AR69" s="3726">
        <v>1</v>
      </c>
      <c r="AS69" s="3734" t="s">
        <v>523</v>
      </c>
      <c r="AT69" s="3622"/>
      <c r="AU69" s="3623">
        <v>19.491</v>
      </c>
      <c r="AV69" s="3622"/>
      <c r="AW69" s="3623">
        <v>86.215</v>
      </c>
      <c r="AX69" s="3624">
        <v>45292.58626157408</v>
      </c>
      <c r="AY69" s="3625" t="s">
        <v>60</v>
      </c>
      <c r="AZ69" s="3624">
        <v>45657.586550925924</v>
      </c>
      <c r="BA69" s="3625" t="s">
        <v>60</v>
      </c>
      <c r="BB69" s="3735"/>
      <c r="BC69" s="3736" t="s">
        <v>488</v>
      </c>
      <c r="BD69" s="3663"/>
      <c r="BE69" s="3737"/>
      <c r="BF69" s="3737" t="str">
        <f>IF(T69="","",T69)</f>
        <v/>
      </c>
      <c r="BG69" s="3737"/>
      <c r="BH69" s="3737"/>
    </row>
    <row customHeight="1" ht="14.25">
      <c r="A70" s="3714"/>
      <c r="B70" s="3714"/>
      <c r="C70" s="3714"/>
      <c r="D70" s="3714"/>
      <c r="E70" s="3715"/>
      <c r="F70" s="3715"/>
      <c r="G70" s="3715"/>
      <c r="H70" s="3715"/>
      <c r="I70" s="3716"/>
      <c r="J70" s="3716"/>
      <c r="K70" s="3717"/>
      <c r="L70" s="3718"/>
      <c r="M70" s="3719"/>
      <c r="N70" s="3719"/>
      <c r="O70" s="3719"/>
      <c r="P70" s="3720"/>
      <c r="Q70" s="3720"/>
      <c r="R70" s="3721"/>
      <c r="S70" s="3738"/>
      <c r="T70" s="3739"/>
      <c r="U70" s="3724"/>
      <c r="V70" s="3947"/>
      <c r="W70" s="3948"/>
      <c r="X70" s="3949"/>
      <c r="Y70" s="3950"/>
      <c r="Z70" s="3951"/>
      <c r="AA70" s="3952"/>
      <c r="AB70" s="3953"/>
      <c r="AC70" s="3954"/>
      <c r="AD70" s="2887"/>
      <c r="AE70" s="3725"/>
      <c r="AF70" s="3726"/>
      <c r="AG70" s="3727"/>
      <c r="AH70" s="3625"/>
      <c r="AI70" s="3725"/>
      <c r="AJ70" s="3726">
        <v>1</v>
      </c>
      <c r="AK70" s="3729"/>
      <c r="AL70" s="3625"/>
      <c r="AM70" s="3748"/>
      <c r="AN70" s="3726"/>
      <c r="AO70" s="3731" t="s">
        <v>24</v>
      </c>
      <c r="AP70" s="3749"/>
      <c r="AQ70" s="3955"/>
      <c r="AR70" s="3956"/>
      <c r="AS70" s="3957" t="s">
        <v>489</v>
      </c>
      <c r="AT70" s="3958"/>
      <c r="AU70" s="3959"/>
      <c r="AV70" s="3960"/>
      <c r="AW70" s="3961"/>
      <c r="AX70" s="3962"/>
      <c r="AY70" s="3963"/>
      <c r="AZ70" s="3964"/>
      <c r="BA70" s="3965"/>
      <c r="BB70" s="3966"/>
      <c r="BC70" s="3762"/>
      <c r="BD70" s="3663"/>
      <c r="BE70" s="3737"/>
      <c r="BF70" s="3737"/>
      <c r="BG70" s="3737"/>
      <c r="BH70" s="3737"/>
    </row>
    <row customHeight="1" ht="14.25">
      <c r="A71" s="3714"/>
      <c r="B71" s="3714"/>
      <c r="C71" s="3714"/>
      <c r="D71" s="3714"/>
      <c r="E71" s="3715"/>
      <c r="F71" s="3715"/>
      <c r="G71" s="3715"/>
      <c r="H71" s="3715"/>
      <c r="I71" s="3716"/>
      <c r="J71" s="3716"/>
      <c r="K71" s="3717"/>
      <c r="L71" s="3718"/>
      <c r="M71" s="3719"/>
      <c r="N71" s="3719"/>
      <c r="O71" s="3719"/>
      <c r="P71" s="3720"/>
      <c r="Q71" s="3720"/>
      <c r="R71" s="3721"/>
      <c r="S71" s="3738"/>
      <c r="T71" s="3739"/>
      <c r="U71" s="3724"/>
      <c r="V71" s="3967"/>
      <c r="W71" s="3968"/>
      <c r="X71" s="3969"/>
      <c r="Y71" s="3970"/>
      <c r="Z71" s="3971"/>
      <c r="AA71" s="3972"/>
      <c r="AB71" s="3973"/>
      <c r="AC71" s="3974"/>
      <c r="AD71" s="2887"/>
      <c r="AE71" s="3725"/>
      <c r="AF71" s="3726"/>
      <c r="AG71" s="3727"/>
      <c r="AH71" s="3625"/>
      <c r="AI71" s="3725"/>
      <c r="AJ71" s="3726">
        <v>1</v>
      </c>
      <c r="AK71" s="3729"/>
      <c r="AL71" s="3625"/>
      <c r="AM71" s="3975"/>
      <c r="AN71" s="3976"/>
      <c r="AO71" s="3977" t="s">
        <v>511</v>
      </c>
      <c r="AP71" s="3978"/>
      <c r="AQ71" s="3979"/>
      <c r="AR71" s="3980"/>
      <c r="AS71" s="3981"/>
      <c r="AT71" s="3982"/>
      <c r="AU71" s="3983"/>
      <c r="AV71" s="3984"/>
      <c r="AW71" s="3985"/>
      <c r="AX71" s="3986"/>
      <c r="AY71" s="3987"/>
      <c r="AZ71" s="3988"/>
      <c r="BA71" s="3989"/>
      <c r="BB71" s="3990"/>
      <c r="BC71" s="3762"/>
      <c r="BD71" s="3663"/>
      <c r="BE71" s="3737"/>
      <c r="BF71" s="3737"/>
      <c r="BG71" s="3737"/>
      <c r="BH71" s="3737"/>
    </row>
    <row customHeight="1" ht="14.25">
      <c r="A72" s="3714"/>
      <c r="B72" s="3714"/>
      <c r="C72" s="3714"/>
      <c r="D72" s="3714"/>
      <c r="E72" s="3715"/>
      <c r="F72" s="3715"/>
      <c r="G72" s="3715"/>
      <c r="H72" s="3715"/>
      <c r="I72" s="3716"/>
      <c r="J72" s="3716"/>
      <c r="K72" s="3717"/>
      <c r="L72" s="3718"/>
      <c r="M72" s="3719"/>
      <c r="N72" s="3719"/>
      <c r="O72" s="3719"/>
      <c r="P72" s="3720"/>
      <c r="Q72" s="3720"/>
      <c r="R72" s="3721"/>
      <c r="S72" s="3738"/>
      <c r="T72" s="3739"/>
      <c r="U72" s="3724"/>
      <c r="V72" s="3991"/>
      <c r="W72" s="3992"/>
      <c r="X72" s="3993"/>
      <c r="Y72" s="3994"/>
      <c r="Z72" s="3995"/>
      <c r="AA72" s="3996"/>
      <c r="AB72" s="3997"/>
      <c r="AC72" s="3998"/>
      <c r="AD72" s="2887"/>
      <c r="AE72" s="3725"/>
      <c r="AF72" s="3726" t="s">
        <v>108</v>
      </c>
      <c r="AG72" s="3727"/>
      <c r="AH72" s="3625"/>
      <c r="AI72" s="3999"/>
      <c r="AJ72" s="4000"/>
      <c r="AK72" s="4001" t="s">
        <v>512</v>
      </c>
      <c r="AL72" s="4002"/>
      <c r="AM72" s="4003"/>
      <c r="AN72" s="4004"/>
      <c r="AO72" s="4005"/>
      <c r="AP72" s="4006"/>
      <c r="AQ72" s="4007"/>
      <c r="AR72" s="4008"/>
      <c r="AS72" s="4009"/>
      <c r="AT72" s="4010"/>
      <c r="AU72" s="4011"/>
      <c r="AV72" s="4012"/>
      <c r="AW72" s="4013"/>
      <c r="AX72" s="4014"/>
      <c r="AY72" s="4015"/>
      <c r="AZ72" s="4016"/>
      <c r="BA72" s="4017"/>
      <c r="BB72" s="4018"/>
      <c r="BC72" s="3762"/>
      <c r="BD72" s="3663"/>
      <c r="BE72" s="3737"/>
      <c r="BF72" s="3737"/>
      <c r="BG72" s="3737"/>
      <c r="BH72" s="3737"/>
    </row>
    <row customHeight="1" ht="14.25">
      <c r="A73" s="3714"/>
      <c r="B73" s="3714"/>
      <c r="C73" s="3714"/>
      <c r="D73" s="3714"/>
      <c r="E73" s="3715"/>
      <c r="F73" s="3715"/>
      <c r="G73" s="3715"/>
      <c r="H73" s="3715"/>
      <c r="I73" s="3716"/>
      <c r="J73" s="3716"/>
      <c r="K73" s="3717" t="str">
        <f>S66&amp;".1"</f>
        <v>1.1.1.1.1.1.1</v>
      </c>
      <c r="L73" s="3718"/>
      <c r="M73" s="3719"/>
      <c r="N73" s="3719"/>
      <c r="O73" s="3719"/>
      <c r="P73" s="3720"/>
      <c r="Q73" s="3720"/>
      <c r="R73" s="3721">
        <v>1</v>
      </c>
      <c r="S73" s="3722" t="str">
        <f>$K73</f>
        <v>1.1.1.1.1.1.1</v>
      </c>
      <c r="T73" s="3723"/>
      <c r="U73" s="3724"/>
      <c r="V73" s="3622"/>
      <c r="W73" s="3623"/>
      <c r="X73" s="3622"/>
      <c r="Y73" s="3623"/>
      <c r="Z73" s="3624"/>
      <c r="AA73" s="3625" t="s">
        <v>60</v>
      </c>
      <c r="AB73" s="3624"/>
      <c r="AC73" s="3625" t="s">
        <v>60</v>
      </c>
      <c r="AD73" s="2881" t="s">
        <v>60</v>
      </c>
      <c r="AE73" s="3728" t="s">
        <v>505</v>
      </c>
      <c r="AF73" s="3726" t="s">
        <v>89</v>
      </c>
      <c r="AG73" s="3727">
        <v>250</v>
      </c>
      <c r="AH73" s="3625" t="s">
        <v>60</v>
      </c>
      <c r="AI73" s="3725"/>
      <c r="AJ73" s="3726">
        <v>1</v>
      </c>
      <c r="AK73" s="3729" t="s">
        <v>519</v>
      </c>
      <c r="AL73" s="3625" t="s">
        <v>55</v>
      </c>
      <c r="AM73" s="3730"/>
      <c r="AN73" s="3726">
        <v>1</v>
      </c>
      <c r="AO73" s="3731" t="s">
        <v>24</v>
      </c>
      <c r="AP73" s="3732" t="s">
        <v>60</v>
      </c>
      <c r="AQ73" s="3733"/>
      <c r="AR73" s="3726">
        <v>1</v>
      </c>
      <c r="AS73" s="3734" t="s">
        <v>524</v>
      </c>
      <c r="AT73" s="3622"/>
      <c r="AU73" s="3623">
        <v>19.491</v>
      </c>
      <c r="AV73" s="3622"/>
      <c r="AW73" s="3623">
        <v>153.575</v>
      </c>
      <c r="AX73" s="3624">
        <v>45292.586643518516</v>
      </c>
      <c r="AY73" s="3625" t="s">
        <v>60</v>
      </c>
      <c r="AZ73" s="3624">
        <v>45657.586701388886</v>
      </c>
      <c r="BA73" s="3625" t="s">
        <v>60</v>
      </c>
      <c r="BB73" s="3735"/>
      <c r="BC73" s="3736" t="s">
        <v>488</v>
      </c>
      <c r="BD73" s="3663"/>
      <c r="BE73" s="3737"/>
      <c r="BF73" s="3737" t="str">
        <f>IF(T73="","",T73)</f>
        <v/>
      </c>
      <c r="BG73" s="3737"/>
      <c r="BH73" s="3737"/>
    </row>
    <row customHeight="1" ht="14.25">
      <c r="A74" s="3714"/>
      <c r="B74" s="3714"/>
      <c r="C74" s="3714"/>
      <c r="D74" s="3714"/>
      <c r="E74" s="3715"/>
      <c r="F74" s="3715"/>
      <c r="G74" s="3715"/>
      <c r="H74" s="3715"/>
      <c r="I74" s="3716"/>
      <c r="J74" s="3716"/>
      <c r="K74" s="3717"/>
      <c r="L74" s="3718"/>
      <c r="M74" s="3719"/>
      <c r="N74" s="3719"/>
      <c r="O74" s="3719"/>
      <c r="P74" s="3720"/>
      <c r="Q74" s="3720"/>
      <c r="R74" s="3721"/>
      <c r="S74" s="3738"/>
      <c r="T74" s="3739"/>
      <c r="U74" s="3724"/>
      <c r="V74" s="4019"/>
      <c r="W74" s="4020"/>
      <c r="X74" s="4021"/>
      <c r="Y74" s="4022"/>
      <c r="Z74" s="4023"/>
      <c r="AA74" s="4024"/>
      <c r="AB74" s="4025"/>
      <c r="AC74" s="4026"/>
      <c r="AD74" s="2887"/>
      <c r="AE74" s="3725"/>
      <c r="AF74" s="3726" t="s">
        <v>88</v>
      </c>
      <c r="AG74" s="3727"/>
      <c r="AH74" s="3625"/>
      <c r="AI74" s="3725"/>
      <c r="AJ74" s="3726"/>
      <c r="AK74" s="3729"/>
      <c r="AL74" s="3625"/>
      <c r="AM74" s="3748"/>
      <c r="AN74" s="3726"/>
      <c r="AO74" s="3731" t="s">
        <v>24</v>
      </c>
      <c r="AP74" s="3749"/>
      <c r="AQ74" s="4027"/>
      <c r="AR74" s="4028"/>
      <c r="AS74" s="4029" t="s">
        <v>489</v>
      </c>
      <c r="AT74" s="4030"/>
      <c r="AU74" s="4031"/>
      <c r="AV74" s="4032"/>
      <c r="AW74" s="4033"/>
      <c r="AX74" s="4034"/>
      <c r="AY74" s="4035"/>
      <c r="AZ74" s="4036"/>
      <c r="BA74" s="4037"/>
      <c r="BB74" s="4038"/>
      <c r="BC74" s="3762"/>
      <c r="BD74" s="3663"/>
      <c r="BE74" s="3737"/>
      <c r="BF74" s="3737"/>
      <c r="BG74" s="3737"/>
      <c r="BH74" s="3737"/>
    </row>
    <row customHeight="1" ht="14.25">
      <c r="A75" s="3714"/>
      <c r="B75" s="3714"/>
      <c r="C75" s="3714"/>
      <c r="D75" s="3714"/>
      <c r="E75" s="3715"/>
      <c r="F75" s="3715"/>
      <c r="G75" s="3715"/>
      <c r="H75" s="3715"/>
      <c r="I75" s="3716"/>
      <c r="J75" s="3716"/>
      <c r="K75" s="3717"/>
      <c r="L75" s="3718"/>
      <c r="M75" s="3719"/>
      <c r="N75" s="3719"/>
      <c r="O75" s="3719"/>
      <c r="P75" s="3720"/>
      <c r="Q75" s="3720"/>
      <c r="R75" s="3721"/>
      <c r="S75" s="3738"/>
      <c r="T75" s="3739"/>
      <c r="U75" s="3724"/>
      <c r="V75" s="4039"/>
      <c r="W75" s="4040"/>
      <c r="X75" s="4041"/>
      <c r="Y75" s="4042"/>
      <c r="Z75" s="4043"/>
      <c r="AA75" s="4044"/>
      <c r="AB75" s="4045"/>
      <c r="AC75" s="4046"/>
      <c r="AD75" s="2887"/>
      <c r="AE75" s="3725"/>
      <c r="AF75" s="3726" t="s">
        <v>88</v>
      </c>
      <c r="AG75" s="3727"/>
      <c r="AH75" s="3625"/>
      <c r="AI75" s="3725"/>
      <c r="AJ75" s="3726"/>
      <c r="AK75" s="3729"/>
      <c r="AL75" s="3625"/>
      <c r="AM75" s="4047"/>
      <c r="AN75" s="4048"/>
      <c r="AO75" s="4049" t="s">
        <v>511</v>
      </c>
      <c r="AP75" s="4050"/>
      <c r="AQ75" s="4051"/>
      <c r="AR75" s="4052"/>
      <c r="AS75" s="4053"/>
      <c r="AT75" s="4054"/>
      <c r="AU75" s="4055"/>
      <c r="AV75" s="4056"/>
      <c r="AW75" s="4057"/>
      <c r="AX75" s="4058"/>
      <c r="AY75" s="4059"/>
      <c r="AZ75" s="4060"/>
      <c r="BA75" s="4061"/>
      <c r="BB75" s="4062"/>
      <c r="BC75" s="3762"/>
      <c r="BD75" s="3663"/>
      <c r="BE75" s="3737"/>
      <c r="BF75" s="3737"/>
      <c r="BG75" s="3737"/>
      <c r="BH75" s="3737"/>
    </row>
    <row customHeight="1" ht="14.25">
      <c r="A76" s="3714"/>
      <c r="B76" s="3714"/>
      <c r="C76" s="3714"/>
      <c r="D76" s="3714"/>
      <c r="E76" s="3715"/>
      <c r="F76" s="3715"/>
      <c r="G76" s="3715"/>
      <c r="H76" s="3715"/>
      <c r="I76" s="3716"/>
      <c r="J76" s="3716"/>
      <c r="K76" s="3717" t="str">
        <f>S72&amp;".1"</f>
        <v>.1</v>
      </c>
      <c r="L76" s="3718"/>
      <c r="M76" s="3719"/>
      <c r="N76" s="3719"/>
      <c r="O76" s="3719"/>
      <c r="P76" s="3720"/>
      <c r="Q76" s="3720"/>
      <c r="R76" s="3721">
        <v>1</v>
      </c>
      <c r="S76" s="3722" t="str">
        <f>$K76</f>
        <v>.1</v>
      </c>
      <c r="T76" s="3723"/>
      <c r="U76" s="3724"/>
      <c r="V76" s="3622"/>
      <c r="W76" s="3623"/>
      <c r="X76" s="3622"/>
      <c r="Y76" s="3623"/>
      <c r="Z76" s="3624"/>
      <c r="AA76" s="3625" t="s">
        <v>60</v>
      </c>
      <c r="AB76" s="3624"/>
      <c r="AC76" s="3625" t="s">
        <v>60</v>
      </c>
      <c r="AD76" s="2881" t="s">
        <v>60</v>
      </c>
      <c r="AE76" s="3725"/>
      <c r="AF76" s="3726">
        <v>1</v>
      </c>
      <c r="AG76" s="3727"/>
      <c r="AH76" s="3625" t="s">
        <v>60</v>
      </c>
      <c r="AI76" s="3728" t="s">
        <v>505</v>
      </c>
      <c r="AJ76" s="3726" t="s">
        <v>108</v>
      </c>
      <c r="AK76" s="3729" t="s">
        <v>521</v>
      </c>
      <c r="AL76" s="3625" t="s">
        <v>55</v>
      </c>
      <c r="AM76" s="3730"/>
      <c r="AN76" s="3726">
        <v>1</v>
      </c>
      <c r="AO76" s="3731" t="s">
        <v>24</v>
      </c>
      <c r="AP76" s="3732" t="s">
        <v>60</v>
      </c>
      <c r="AQ76" s="3733"/>
      <c r="AR76" s="3726">
        <v>1</v>
      </c>
      <c r="AS76" s="3734" t="s">
        <v>524</v>
      </c>
      <c r="AT76" s="3622"/>
      <c r="AU76" s="3623">
        <v>19.491</v>
      </c>
      <c r="AV76" s="3622"/>
      <c r="AW76" s="3623">
        <v>153.048</v>
      </c>
      <c r="AX76" s="3624">
        <v>45292.58681712963</v>
      </c>
      <c r="AY76" s="3625" t="s">
        <v>60</v>
      </c>
      <c r="AZ76" s="3624">
        <v>45657.58699074074</v>
      </c>
      <c r="BA76" s="3625" t="s">
        <v>60</v>
      </c>
      <c r="BB76" s="3735"/>
      <c r="BC76" s="3736" t="s">
        <v>488</v>
      </c>
      <c r="BD76" s="3663"/>
      <c r="BE76" s="3737"/>
      <c r="BF76" s="3737" t="str">
        <f>IF(T76="","",T76)</f>
        <v/>
      </c>
      <c r="BG76" s="3737"/>
      <c r="BH76" s="3737"/>
    </row>
    <row customHeight="1" ht="14.25">
      <c r="A77" s="3714"/>
      <c r="B77" s="3714"/>
      <c r="C77" s="3714"/>
      <c r="D77" s="3714"/>
      <c r="E77" s="3715"/>
      <c r="F77" s="3715"/>
      <c r="G77" s="3715"/>
      <c r="H77" s="3715"/>
      <c r="I77" s="3716"/>
      <c r="J77" s="3716"/>
      <c r="K77" s="3717"/>
      <c r="L77" s="3718"/>
      <c r="M77" s="3719"/>
      <c r="N77" s="3719"/>
      <c r="O77" s="3719"/>
      <c r="P77" s="3720"/>
      <c r="Q77" s="3720"/>
      <c r="R77" s="3721"/>
      <c r="S77" s="3738"/>
      <c r="T77" s="3739"/>
      <c r="U77" s="3724"/>
      <c r="V77" s="4063"/>
      <c r="W77" s="4064"/>
      <c r="X77" s="4065"/>
      <c r="Y77" s="4066"/>
      <c r="Z77" s="4067"/>
      <c r="AA77" s="4068"/>
      <c r="AB77" s="4069"/>
      <c r="AC77" s="4070"/>
      <c r="AD77" s="2887"/>
      <c r="AE77" s="3725"/>
      <c r="AF77" s="3726"/>
      <c r="AG77" s="3727"/>
      <c r="AH77" s="3625"/>
      <c r="AI77" s="3725"/>
      <c r="AJ77" s="3726">
        <v>1</v>
      </c>
      <c r="AK77" s="3729"/>
      <c r="AL77" s="3625"/>
      <c r="AM77" s="3748"/>
      <c r="AN77" s="3726"/>
      <c r="AO77" s="3731" t="s">
        <v>24</v>
      </c>
      <c r="AP77" s="3749"/>
      <c r="AQ77" s="4071"/>
      <c r="AR77" s="4072"/>
      <c r="AS77" s="4073" t="s">
        <v>489</v>
      </c>
      <c r="AT77" s="4074"/>
      <c r="AU77" s="4075"/>
      <c r="AV77" s="4076"/>
      <c r="AW77" s="4077"/>
      <c r="AX77" s="4078"/>
      <c r="AY77" s="4079"/>
      <c r="AZ77" s="4080"/>
      <c r="BA77" s="4081"/>
      <c r="BB77" s="4082"/>
      <c r="BC77" s="3762"/>
      <c r="BD77" s="3663"/>
      <c r="BE77" s="3737"/>
      <c r="BF77" s="3737"/>
      <c r="BG77" s="3737"/>
      <c r="BH77" s="3737"/>
    </row>
    <row customHeight="1" ht="14.25">
      <c r="A78" s="3714"/>
      <c r="B78" s="3714"/>
      <c r="C78" s="3714"/>
      <c r="D78" s="3714"/>
      <c r="E78" s="3715"/>
      <c r="F78" s="3715"/>
      <c r="G78" s="3715"/>
      <c r="H78" s="3715"/>
      <c r="I78" s="3716"/>
      <c r="J78" s="3716"/>
      <c r="K78" s="3717"/>
      <c r="L78" s="3718"/>
      <c r="M78" s="3719"/>
      <c r="N78" s="3719"/>
      <c r="O78" s="3719"/>
      <c r="P78" s="3720"/>
      <c r="Q78" s="3720"/>
      <c r="R78" s="3721"/>
      <c r="S78" s="3738"/>
      <c r="T78" s="3739"/>
      <c r="U78" s="3724"/>
      <c r="V78" s="4083"/>
      <c r="W78" s="4084"/>
      <c r="X78" s="4085"/>
      <c r="Y78" s="4086"/>
      <c r="Z78" s="4087"/>
      <c r="AA78" s="4088"/>
      <c r="AB78" s="4089"/>
      <c r="AC78" s="4090"/>
      <c r="AD78" s="2887"/>
      <c r="AE78" s="3725"/>
      <c r="AF78" s="3726"/>
      <c r="AG78" s="3727"/>
      <c r="AH78" s="3625"/>
      <c r="AI78" s="3725"/>
      <c r="AJ78" s="3726">
        <v>1</v>
      </c>
      <c r="AK78" s="3729"/>
      <c r="AL78" s="3625"/>
      <c r="AM78" s="4091"/>
      <c r="AN78" s="4092"/>
      <c r="AO78" s="4093" t="s">
        <v>511</v>
      </c>
      <c r="AP78" s="4094"/>
      <c r="AQ78" s="4095"/>
      <c r="AR78" s="4096"/>
      <c r="AS78" s="4097"/>
      <c r="AT78" s="4098"/>
      <c r="AU78" s="4099"/>
      <c r="AV78" s="4100"/>
      <c r="AW78" s="4101"/>
      <c r="AX78" s="4102"/>
      <c r="AY78" s="4103"/>
      <c r="AZ78" s="4104"/>
      <c r="BA78" s="4105"/>
      <c r="BB78" s="4106"/>
      <c r="BC78" s="3762"/>
      <c r="BD78" s="3663"/>
      <c r="BE78" s="3737"/>
      <c r="BF78" s="3737"/>
      <c r="BG78" s="3737"/>
      <c r="BH78" s="3737"/>
    </row>
    <row customHeight="1" ht="14.25">
      <c r="A79" s="3714"/>
      <c r="B79" s="3714"/>
      <c r="C79" s="3714"/>
      <c r="D79" s="3714"/>
      <c r="E79" s="3715"/>
      <c r="F79" s="3715"/>
      <c r="G79" s="3715"/>
      <c r="H79" s="3715"/>
      <c r="I79" s="3716"/>
      <c r="J79" s="3716"/>
      <c r="K79" s="3717"/>
      <c r="L79" s="3718"/>
      <c r="M79" s="3719"/>
      <c r="N79" s="3719"/>
      <c r="O79" s="3719"/>
      <c r="P79" s="3720"/>
      <c r="Q79" s="3720"/>
      <c r="R79" s="3721"/>
      <c r="S79" s="3738"/>
      <c r="T79" s="3739"/>
      <c r="U79" s="3724"/>
      <c r="V79" s="4107"/>
      <c r="W79" s="4108"/>
      <c r="X79" s="4109"/>
      <c r="Y79" s="4110"/>
      <c r="Z79" s="4111"/>
      <c r="AA79" s="4112"/>
      <c r="AB79" s="4113"/>
      <c r="AC79" s="4114"/>
      <c r="AD79" s="2887"/>
      <c r="AE79" s="3725"/>
      <c r="AF79" s="3726" t="s">
        <v>88</v>
      </c>
      <c r="AG79" s="3727"/>
      <c r="AH79" s="3625"/>
      <c r="AI79" s="4115"/>
      <c r="AJ79" s="4116"/>
      <c r="AK79" s="4117" t="s">
        <v>512</v>
      </c>
      <c r="AL79" s="4118"/>
      <c r="AM79" s="4119"/>
      <c r="AN79" s="4120"/>
      <c r="AO79" s="4121"/>
      <c r="AP79" s="4122"/>
      <c r="AQ79" s="4123"/>
      <c r="AR79" s="4124"/>
      <c r="AS79" s="4125"/>
      <c r="AT79" s="4126"/>
      <c r="AU79" s="4127"/>
      <c r="AV79" s="4128"/>
      <c r="AW79" s="4129"/>
      <c r="AX79" s="4130"/>
      <c r="AY79" s="4131"/>
      <c r="AZ79" s="4132"/>
      <c r="BA79" s="4133"/>
      <c r="BB79" s="4134"/>
      <c r="BC79" s="3762"/>
      <c r="BD79" s="3663"/>
      <c r="BE79" s="3737"/>
      <c r="BF79" s="3737"/>
      <c r="BG79" s="3737"/>
      <c r="BH79" s="3737"/>
    </row>
    <row customHeight="1" ht="14.25">
      <c r="A80" s="3714"/>
      <c r="B80" s="3714"/>
      <c r="C80" s="3714"/>
      <c r="D80" s="3714"/>
      <c r="E80" s="3715"/>
      <c r="F80" s="3715"/>
      <c r="G80" s="3715"/>
      <c r="H80" s="3715"/>
      <c r="I80" s="3716"/>
      <c r="J80" s="3716"/>
      <c r="K80" s="3717" t="str">
        <f>S73&amp;".1"</f>
        <v>1.1.1.1.1.1.1.1</v>
      </c>
      <c r="L80" s="3718"/>
      <c r="M80" s="3719"/>
      <c r="N80" s="3719"/>
      <c r="O80" s="3719"/>
      <c r="P80" s="3720"/>
      <c r="Q80" s="3720"/>
      <c r="R80" s="3721">
        <v>1</v>
      </c>
      <c r="S80" s="3722" t="str">
        <f>$K80</f>
        <v>1.1.1.1.1.1.1.1</v>
      </c>
      <c r="T80" s="3723"/>
      <c r="U80" s="3724"/>
      <c r="V80" s="3622"/>
      <c r="W80" s="3623"/>
      <c r="X80" s="3622"/>
      <c r="Y80" s="3623"/>
      <c r="Z80" s="3624"/>
      <c r="AA80" s="3625" t="s">
        <v>60</v>
      </c>
      <c r="AB80" s="3624"/>
      <c r="AC80" s="3625" t="s">
        <v>60</v>
      </c>
      <c r="AD80" s="2881" t="s">
        <v>60</v>
      </c>
      <c r="AE80" s="3728" t="s">
        <v>505</v>
      </c>
      <c r="AF80" s="3726" t="s">
        <v>109</v>
      </c>
      <c r="AG80" s="3727">
        <v>250</v>
      </c>
      <c r="AH80" s="3625" t="s">
        <v>60</v>
      </c>
      <c r="AI80" s="3725"/>
      <c r="AJ80" s="3726">
        <v>1</v>
      </c>
      <c r="AK80" s="3729" t="s">
        <v>519</v>
      </c>
      <c r="AL80" s="3625" t="s">
        <v>55</v>
      </c>
      <c r="AM80" s="3730"/>
      <c r="AN80" s="3726">
        <v>1</v>
      </c>
      <c r="AO80" s="3731" t="s">
        <v>24</v>
      </c>
      <c r="AP80" s="3732" t="s">
        <v>60</v>
      </c>
      <c r="AQ80" s="3733"/>
      <c r="AR80" s="3726">
        <v>1</v>
      </c>
      <c r="AS80" s="3734" t="s">
        <v>525</v>
      </c>
      <c r="AT80" s="3622"/>
      <c r="AU80" s="3623">
        <v>19.491</v>
      </c>
      <c r="AV80" s="3622"/>
      <c r="AW80" s="3623">
        <v>15.263</v>
      </c>
      <c r="AX80" s="3624">
        <v>45292.58707175926</v>
      </c>
      <c r="AY80" s="3625" t="s">
        <v>60</v>
      </c>
      <c r="AZ80" s="3624">
        <v>45657.58715277778</v>
      </c>
      <c r="BA80" s="3625" t="s">
        <v>60</v>
      </c>
      <c r="BB80" s="3735"/>
      <c r="BC80" s="3736" t="s">
        <v>488</v>
      </c>
      <c r="BD80" s="3663"/>
      <c r="BE80" s="3737"/>
      <c r="BF80" s="3737" t="str">
        <f>IF(T80="","",T80)</f>
        <v/>
      </c>
      <c r="BG80" s="3737"/>
      <c r="BH80" s="3737"/>
    </row>
    <row customHeight="1" ht="14.25">
      <c r="A81" s="3714"/>
      <c r="B81" s="3714"/>
      <c r="C81" s="3714"/>
      <c r="D81" s="3714"/>
      <c r="E81" s="3715"/>
      <c r="F81" s="3715"/>
      <c r="G81" s="3715"/>
      <c r="H81" s="3715"/>
      <c r="I81" s="3716"/>
      <c r="J81" s="3716"/>
      <c r="K81" s="3717"/>
      <c r="L81" s="3718"/>
      <c r="M81" s="3719"/>
      <c r="N81" s="3719"/>
      <c r="O81" s="3719"/>
      <c r="P81" s="3720"/>
      <c r="Q81" s="3720"/>
      <c r="R81" s="3721"/>
      <c r="S81" s="3738"/>
      <c r="T81" s="3739"/>
      <c r="U81" s="3724"/>
      <c r="V81" s="4135"/>
      <c r="W81" s="4136"/>
      <c r="X81" s="4137"/>
      <c r="Y81" s="4138"/>
      <c r="Z81" s="4139"/>
      <c r="AA81" s="4140"/>
      <c r="AB81" s="4141"/>
      <c r="AC81" s="4142"/>
      <c r="AD81" s="2887"/>
      <c r="AE81" s="3725"/>
      <c r="AF81" s="3726" t="s">
        <v>89</v>
      </c>
      <c r="AG81" s="3727"/>
      <c r="AH81" s="3625"/>
      <c r="AI81" s="3725"/>
      <c r="AJ81" s="3726"/>
      <c r="AK81" s="3729"/>
      <c r="AL81" s="3625"/>
      <c r="AM81" s="3748"/>
      <c r="AN81" s="3726"/>
      <c r="AO81" s="3731" t="s">
        <v>24</v>
      </c>
      <c r="AP81" s="3749"/>
      <c r="AQ81" s="4143"/>
      <c r="AR81" s="4144"/>
      <c r="AS81" s="4145" t="s">
        <v>489</v>
      </c>
      <c r="AT81" s="4146"/>
      <c r="AU81" s="4147"/>
      <c r="AV81" s="4148"/>
      <c r="AW81" s="4149"/>
      <c r="AX81" s="4150"/>
      <c r="AY81" s="4151"/>
      <c r="AZ81" s="4152"/>
      <c r="BA81" s="4153"/>
      <c r="BB81" s="4154"/>
      <c r="BC81" s="3762"/>
      <c r="BD81" s="3663"/>
      <c r="BE81" s="3737"/>
      <c r="BF81" s="3737"/>
      <c r="BG81" s="3737"/>
      <c r="BH81" s="3737"/>
    </row>
    <row customHeight="1" ht="14.25">
      <c r="A82" s="3714"/>
      <c r="B82" s="3714"/>
      <c r="C82" s="3714"/>
      <c r="D82" s="3714"/>
      <c r="E82" s="3715"/>
      <c r="F82" s="3715"/>
      <c r="G82" s="3715"/>
      <c r="H82" s="3715"/>
      <c r="I82" s="3716"/>
      <c r="J82" s="3716"/>
      <c r="K82" s="3717"/>
      <c r="L82" s="3718"/>
      <c r="M82" s="3719"/>
      <c r="N82" s="3719"/>
      <c r="O82" s="3719"/>
      <c r="P82" s="3720"/>
      <c r="Q82" s="3720"/>
      <c r="R82" s="3721"/>
      <c r="S82" s="3738"/>
      <c r="T82" s="3739"/>
      <c r="U82" s="3724"/>
      <c r="V82" s="4155"/>
      <c r="W82" s="4156"/>
      <c r="X82" s="4157"/>
      <c r="Y82" s="4158"/>
      <c r="Z82" s="4159"/>
      <c r="AA82" s="4160"/>
      <c r="AB82" s="4161"/>
      <c r="AC82" s="4162"/>
      <c r="AD82" s="2887"/>
      <c r="AE82" s="3725"/>
      <c r="AF82" s="3726" t="s">
        <v>89</v>
      </c>
      <c r="AG82" s="3727"/>
      <c r="AH82" s="3625"/>
      <c r="AI82" s="3725"/>
      <c r="AJ82" s="3726"/>
      <c r="AK82" s="3729"/>
      <c r="AL82" s="3625"/>
      <c r="AM82" s="4163"/>
      <c r="AN82" s="4164"/>
      <c r="AO82" s="4165" t="s">
        <v>511</v>
      </c>
      <c r="AP82" s="4166"/>
      <c r="AQ82" s="4167"/>
      <c r="AR82" s="4168"/>
      <c r="AS82" s="4169"/>
      <c r="AT82" s="4170"/>
      <c r="AU82" s="4171"/>
      <c r="AV82" s="4172"/>
      <c r="AW82" s="4173"/>
      <c r="AX82" s="4174"/>
      <c r="AY82" s="4175"/>
      <c r="AZ82" s="4176"/>
      <c r="BA82" s="4177"/>
      <c r="BB82" s="4178"/>
      <c r="BC82" s="3762"/>
      <c r="BD82" s="3663"/>
      <c r="BE82" s="3737"/>
      <c r="BF82" s="3737"/>
      <c r="BG82" s="3737"/>
      <c r="BH82" s="3737"/>
    </row>
    <row customHeight="1" ht="14.25">
      <c r="A83" s="3714"/>
      <c r="B83" s="3714"/>
      <c r="C83" s="3714"/>
      <c r="D83" s="3714"/>
      <c r="E83" s="3715"/>
      <c r="F83" s="3715"/>
      <c r="G83" s="3715"/>
      <c r="H83" s="3715"/>
      <c r="I83" s="3716"/>
      <c r="J83" s="3716"/>
      <c r="K83" s="3717" t="str">
        <f>S79&amp;".1"</f>
        <v>.1</v>
      </c>
      <c r="L83" s="3718"/>
      <c r="M83" s="3719"/>
      <c r="N83" s="3719"/>
      <c r="O83" s="3719"/>
      <c r="P83" s="3720"/>
      <c r="Q83" s="3720"/>
      <c r="R83" s="3721">
        <v>1</v>
      </c>
      <c r="S83" s="3722" t="str">
        <f>$K83</f>
        <v>.1</v>
      </c>
      <c r="T83" s="3723"/>
      <c r="U83" s="3724"/>
      <c r="V83" s="3622"/>
      <c r="W83" s="3623"/>
      <c r="X83" s="3622"/>
      <c r="Y83" s="3623"/>
      <c r="Z83" s="3624"/>
      <c r="AA83" s="3625" t="s">
        <v>60</v>
      </c>
      <c r="AB83" s="3624"/>
      <c r="AC83" s="3625" t="s">
        <v>60</v>
      </c>
      <c r="AD83" s="2881" t="s">
        <v>60</v>
      </c>
      <c r="AE83" s="3725"/>
      <c r="AF83" s="3726">
        <v>1</v>
      </c>
      <c r="AG83" s="3727"/>
      <c r="AH83" s="3625" t="s">
        <v>60</v>
      </c>
      <c r="AI83" s="3728" t="s">
        <v>505</v>
      </c>
      <c r="AJ83" s="3726" t="s">
        <v>108</v>
      </c>
      <c r="AK83" s="3729" t="s">
        <v>521</v>
      </c>
      <c r="AL83" s="3625" t="s">
        <v>55</v>
      </c>
      <c r="AM83" s="3730"/>
      <c r="AN83" s="3726">
        <v>1</v>
      </c>
      <c r="AO83" s="3731" t="s">
        <v>24</v>
      </c>
      <c r="AP83" s="3732" t="s">
        <v>60</v>
      </c>
      <c r="AQ83" s="3733"/>
      <c r="AR83" s="3726">
        <v>1</v>
      </c>
      <c r="AS83" s="3734" t="s">
        <v>525</v>
      </c>
      <c r="AT83" s="3622"/>
      <c r="AU83" s="3623">
        <v>19.491</v>
      </c>
      <c r="AV83" s="3622"/>
      <c r="AW83" s="3623">
        <v>17.082</v>
      </c>
      <c r="AX83" s="3624">
        <v>45292.58728009259</v>
      </c>
      <c r="AY83" s="3625" t="s">
        <v>60</v>
      </c>
      <c r="AZ83" s="3624">
        <v>45657.587326388886</v>
      </c>
      <c r="BA83" s="3625" t="s">
        <v>60</v>
      </c>
      <c r="BB83" s="3735"/>
      <c r="BC83" s="3736" t="s">
        <v>488</v>
      </c>
      <c r="BD83" s="3663"/>
      <c r="BE83" s="3737"/>
      <c r="BF83" s="3737" t="str">
        <f>IF(T83="","",T83)</f>
        <v/>
      </c>
      <c r="BG83" s="3737"/>
      <c r="BH83" s="3737"/>
    </row>
    <row customHeight="1" ht="14.25">
      <c r="A84" s="3714"/>
      <c r="B84" s="3714"/>
      <c r="C84" s="3714"/>
      <c r="D84" s="3714"/>
      <c r="E84" s="3715"/>
      <c r="F84" s="3715"/>
      <c r="G84" s="3715"/>
      <c r="H84" s="3715"/>
      <c r="I84" s="3716"/>
      <c r="J84" s="3716"/>
      <c r="K84" s="3717"/>
      <c r="L84" s="3718"/>
      <c r="M84" s="3719"/>
      <c r="N84" s="3719"/>
      <c r="O84" s="3719"/>
      <c r="P84" s="3720"/>
      <c r="Q84" s="3720"/>
      <c r="R84" s="3721"/>
      <c r="S84" s="3738"/>
      <c r="T84" s="3739"/>
      <c r="U84" s="3724"/>
      <c r="V84" s="4179"/>
      <c r="W84" s="4180"/>
      <c r="X84" s="4181"/>
      <c r="Y84" s="4182"/>
      <c r="Z84" s="4183"/>
      <c r="AA84" s="4184"/>
      <c r="AB84" s="4185"/>
      <c r="AC84" s="4186"/>
      <c r="AD84" s="2887"/>
      <c r="AE84" s="3725"/>
      <c r="AF84" s="3726"/>
      <c r="AG84" s="3727"/>
      <c r="AH84" s="3625"/>
      <c r="AI84" s="3725"/>
      <c r="AJ84" s="3726">
        <v>1</v>
      </c>
      <c r="AK84" s="3729"/>
      <c r="AL84" s="3625"/>
      <c r="AM84" s="3748"/>
      <c r="AN84" s="3726"/>
      <c r="AO84" s="3731" t="s">
        <v>24</v>
      </c>
      <c r="AP84" s="3749"/>
      <c r="AQ84" s="4187"/>
      <c r="AR84" s="4188"/>
      <c r="AS84" s="4189" t="s">
        <v>489</v>
      </c>
      <c r="AT84" s="4190"/>
      <c r="AU84" s="4191"/>
      <c r="AV84" s="4192"/>
      <c r="AW84" s="4193"/>
      <c r="AX84" s="4194"/>
      <c r="AY84" s="4195"/>
      <c r="AZ84" s="4196"/>
      <c r="BA84" s="4197"/>
      <c r="BB84" s="4198"/>
      <c r="BC84" s="3762"/>
      <c r="BD84" s="3663"/>
      <c r="BE84" s="3737"/>
      <c r="BF84" s="3737"/>
      <c r="BG84" s="3737"/>
      <c r="BH84" s="3737"/>
    </row>
    <row customHeight="1" ht="14.25">
      <c r="A85" s="3714"/>
      <c r="B85" s="3714"/>
      <c r="C85" s="3714"/>
      <c r="D85" s="3714"/>
      <c r="E85" s="3715"/>
      <c r="F85" s="3715"/>
      <c r="G85" s="3715"/>
      <c r="H85" s="3715"/>
      <c r="I85" s="3716"/>
      <c r="J85" s="3716"/>
      <c r="K85" s="3717"/>
      <c r="L85" s="3718"/>
      <c r="M85" s="3719"/>
      <c r="N85" s="3719"/>
      <c r="O85" s="3719"/>
      <c r="P85" s="3720"/>
      <c r="Q85" s="3720"/>
      <c r="R85" s="3721"/>
      <c r="S85" s="3738"/>
      <c r="T85" s="3739"/>
      <c r="U85" s="3724"/>
      <c r="V85" s="4199"/>
      <c r="W85" s="4200"/>
      <c r="X85" s="4201"/>
      <c r="Y85" s="4202"/>
      <c r="Z85" s="4203"/>
      <c r="AA85" s="4204"/>
      <c r="AB85" s="4205"/>
      <c r="AC85" s="4206"/>
      <c r="AD85" s="2887"/>
      <c r="AE85" s="3725"/>
      <c r="AF85" s="3726"/>
      <c r="AG85" s="3727"/>
      <c r="AH85" s="3625"/>
      <c r="AI85" s="3725"/>
      <c r="AJ85" s="3726">
        <v>1</v>
      </c>
      <c r="AK85" s="3729"/>
      <c r="AL85" s="3625"/>
      <c r="AM85" s="4207"/>
      <c r="AN85" s="4208"/>
      <c r="AO85" s="4209" t="s">
        <v>511</v>
      </c>
      <c r="AP85" s="4210"/>
      <c r="AQ85" s="4211"/>
      <c r="AR85" s="4212"/>
      <c r="AS85" s="4213"/>
      <c r="AT85" s="4214"/>
      <c r="AU85" s="4215"/>
      <c r="AV85" s="4216"/>
      <c r="AW85" s="4217"/>
      <c r="AX85" s="4218"/>
      <c r="AY85" s="4219"/>
      <c r="AZ85" s="4220"/>
      <c r="BA85" s="4221"/>
      <c r="BB85" s="4222"/>
      <c r="BC85" s="3762"/>
      <c r="BD85" s="3663"/>
      <c r="BE85" s="3737"/>
      <c r="BF85" s="3737"/>
      <c r="BG85" s="3737"/>
      <c r="BH85" s="3737"/>
    </row>
    <row customHeight="1" ht="14.25">
      <c r="A86" s="3714"/>
      <c r="B86" s="3714"/>
      <c r="C86" s="3714"/>
      <c r="D86" s="3714"/>
      <c r="E86" s="3715"/>
      <c r="F86" s="3715"/>
      <c r="G86" s="3715"/>
      <c r="H86" s="3715"/>
      <c r="I86" s="3716"/>
      <c r="J86" s="3716"/>
      <c r="K86" s="3717"/>
      <c r="L86" s="3718"/>
      <c r="M86" s="3719"/>
      <c r="N86" s="3719"/>
      <c r="O86" s="3719"/>
      <c r="P86" s="3720"/>
      <c r="Q86" s="3720"/>
      <c r="R86" s="3721"/>
      <c r="S86" s="3738"/>
      <c r="T86" s="3739"/>
      <c r="U86" s="3724"/>
      <c r="V86" s="4223"/>
      <c r="W86" s="4224"/>
      <c r="X86" s="4225"/>
      <c r="Y86" s="4226"/>
      <c r="Z86" s="4227"/>
      <c r="AA86" s="4228"/>
      <c r="AB86" s="4229"/>
      <c r="AC86" s="4230"/>
      <c r="AD86" s="2887"/>
      <c r="AE86" s="3725"/>
      <c r="AF86" s="3726" t="s">
        <v>89</v>
      </c>
      <c r="AG86" s="3727"/>
      <c r="AH86" s="3625"/>
      <c r="AI86" s="4231"/>
      <c r="AJ86" s="4232"/>
      <c r="AK86" s="4233" t="s">
        <v>512</v>
      </c>
      <c r="AL86" s="4234"/>
      <c r="AM86" s="4235"/>
      <c r="AN86" s="4236"/>
      <c r="AO86" s="4237"/>
      <c r="AP86" s="4238"/>
      <c r="AQ86" s="4239"/>
      <c r="AR86" s="4240"/>
      <c r="AS86" s="4241"/>
      <c r="AT86" s="4242"/>
      <c r="AU86" s="4243"/>
      <c r="AV86" s="4244"/>
      <c r="AW86" s="4245"/>
      <c r="AX86" s="4246"/>
      <c r="AY86" s="4247"/>
      <c r="AZ86" s="4248"/>
      <c r="BA86" s="4249"/>
      <c r="BB86" s="4250"/>
      <c r="BC86" s="3762"/>
      <c r="BD86" s="3663"/>
      <c r="BE86" s="3737"/>
      <c r="BF86" s="3737"/>
      <c r="BG86" s="3737"/>
      <c r="BH86" s="3737"/>
    </row>
    <row customHeight="1" ht="14.25">
      <c r="A87" s="3714"/>
      <c r="B87" s="3714"/>
      <c r="C87" s="3714"/>
      <c r="D87" s="3714"/>
      <c r="E87" s="3715"/>
      <c r="F87" s="3715"/>
      <c r="G87" s="3715"/>
      <c r="H87" s="3715"/>
      <c r="I87" s="3716"/>
      <c r="J87" s="3716"/>
      <c r="K87" s="3717" t="str">
        <f>S80&amp;".1"</f>
        <v>1.1.1.1.1.1.1.1.1</v>
      </c>
      <c r="L87" s="3718"/>
      <c r="M87" s="3719"/>
      <c r="N87" s="3719"/>
      <c r="O87" s="3719"/>
      <c r="P87" s="3720"/>
      <c r="Q87" s="3720"/>
      <c r="R87" s="3721">
        <v>1</v>
      </c>
      <c r="S87" s="3722" t="str">
        <f>$K87</f>
        <v>1.1.1.1.1.1.1.1.1</v>
      </c>
      <c r="T87" s="3723"/>
      <c r="U87" s="3724"/>
      <c r="V87" s="3622"/>
      <c r="W87" s="3623"/>
      <c r="X87" s="3622"/>
      <c r="Y87" s="3623"/>
      <c r="Z87" s="3624"/>
      <c r="AA87" s="3625" t="s">
        <v>60</v>
      </c>
      <c r="AB87" s="3624"/>
      <c r="AC87" s="3625" t="s">
        <v>60</v>
      </c>
      <c r="AD87" s="2881" t="s">
        <v>60</v>
      </c>
      <c r="AE87" s="3728" t="s">
        <v>505</v>
      </c>
      <c r="AF87" s="3726" t="s">
        <v>90</v>
      </c>
      <c r="AG87" s="3727">
        <v>250</v>
      </c>
      <c r="AH87" s="3625" t="s">
        <v>60</v>
      </c>
      <c r="AI87" s="3725"/>
      <c r="AJ87" s="3726">
        <v>1</v>
      </c>
      <c r="AK87" s="3729" t="s">
        <v>519</v>
      </c>
      <c r="AL87" s="3625" t="s">
        <v>55</v>
      </c>
      <c r="AM87" s="3730"/>
      <c r="AN87" s="3726">
        <v>1</v>
      </c>
      <c r="AO87" s="3731" t="s">
        <v>24</v>
      </c>
      <c r="AP87" s="3732" t="s">
        <v>60</v>
      </c>
      <c r="AQ87" s="3733"/>
      <c r="AR87" s="3726">
        <v>1</v>
      </c>
      <c r="AS87" s="3734" t="s">
        <v>526</v>
      </c>
      <c r="AT87" s="3622"/>
      <c r="AU87" s="3623">
        <v>19.491</v>
      </c>
      <c r="AV87" s="3622"/>
      <c r="AW87" s="3623">
        <v>22.998</v>
      </c>
      <c r="AX87" s="3624">
        <v>45292.58758101852</v>
      </c>
      <c r="AY87" s="3625" t="s">
        <v>60</v>
      </c>
      <c r="AZ87" s="3624">
        <v>45657.58765046296</v>
      </c>
      <c r="BA87" s="3625" t="s">
        <v>60</v>
      </c>
      <c r="BB87" s="3735"/>
      <c r="BC87" s="3736" t="s">
        <v>488</v>
      </c>
      <c r="BD87" s="3663"/>
      <c r="BE87" s="3737"/>
      <c r="BF87" s="3737" t="str">
        <f>IF(T87="","",T87)</f>
        <v/>
      </c>
      <c r="BG87" s="3737"/>
      <c r="BH87" s="3737"/>
    </row>
    <row customHeight="1" ht="14.25">
      <c r="A88" s="3714"/>
      <c r="B88" s="3714"/>
      <c r="C88" s="3714"/>
      <c r="D88" s="3714"/>
      <c r="E88" s="3715"/>
      <c r="F88" s="3715"/>
      <c r="G88" s="3715"/>
      <c r="H88" s="3715"/>
      <c r="I88" s="3716"/>
      <c r="J88" s="3716"/>
      <c r="K88" s="3717"/>
      <c r="L88" s="3718"/>
      <c r="M88" s="3719"/>
      <c r="N88" s="3719"/>
      <c r="O88" s="3719"/>
      <c r="P88" s="3720"/>
      <c r="Q88" s="3720"/>
      <c r="R88" s="3721"/>
      <c r="S88" s="3738"/>
      <c r="T88" s="3739"/>
      <c r="U88" s="3724"/>
      <c r="V88" s="4251"/>
      <c r="W88" s="4252"/>
      <c r="X88" s="4253"/>
      <c r="Y88" s="4254"/>
      <c r="Z88" s="4255"/>
      <c r="AA88" s="4256"/>
      <c r="AB88" s="4257"/>
      <c r="AC88" s="4258"/>
      <c r="AD88" s="2887"/>
      <c r="AE88" s="3725"/>
      <c r="AF88" s="3726" t="s">
        <v>109</v>
      </c>
      <c r="AG88" s="3727"/>
      <c r="AH88" s="3625"/>
      <c r="AI88" s="3725"/>
      <c r="AJ88" s="3726"/>
      <c r="AK88" s="3729"/>
      <c r="AL88" s="3625"/>
      <c r="AM88" s="3748"/>
      <c r="AN88" s="3726"/>
      <c r="AO88" s="3731" t="s">
        <v>24</v>
      </c>
      <c r="AP88" s="3749"/>
      <c r="AQ88" s="4259"/>
      <c r="AR88" s="4260"/>
      <c r="AS88" s="4261" t="s">
        <v>489</v>
      </c>
      <c r="AT88" s="4262"/>
      <c r="AU88" s="4263"/>
      <c r="AV88" s="4264"/>
      <c r="AW88" s="4265"/>
      <c r="AX88" s="4266"/>
      <c r="AY88" s="4267"/>
      <c r="AZ88" s="4268"/>
      <c r="BA88" s="4269"/>
      <c r="BB88" s="4270"/>
      <c r="BC88" s="3762"/>
      <c r="BD88" s="3663"/>
      <c r="BE88" s="3737"/>
      <c r="BF88" s="3737"/>
      <c r="BG88" s="3737"/>
      <c r="BH88" s="3737"/>
    </row>
    <row customHeight="1" ht="14.25">
      <c r="A89" s="3714"/>
      <c r="B89" s="3714"/>
      <c r="C89" s="3714"/>
      <c r="D89" s="3714"/>
      <c r="E89" s="3715"/>
      <c r="F89" s="3715"/>
      <c r="G89" s="3715"/>
      <c r="H89" s="3715"/>
      <c r="I89" s="3716"/>
      <c r="J89" s="3716"/>
      <c r="K89" s="3717"/>
      <c r="L89" s="3718"/>
      <c r="M89" s="3719"/>
      <c r="N89" s="3719"/>
      <c r="O89" s="3719"/>
      <c r="P89" s="3720"/>
      <c r="Q89" s="3720"/>
      <c r="R89" s="3721"/>
      <c r="S89" s="3738"/>
      <c r="T89" s="3739"/>
      <c r="U89" s="3724"/>
      <c r="V89" s="4271"/>
      <c r="W89" s="4272"/>
      <c r="X89" s="4273"/>
      <c r="Y89" s="4274"/>
      <c r="Z89" s="4275"/>
      <c r="AA89" s="4276"/>
      <c r="AB89" s="4277"/>
      <c r="AC89" s="4278"/>
      <c r="AD89" s="2887"/>
      <c r="AE89" s="3725"/>
      <c r="AF89" s="3726" t="s">
        <v>109</v>
      </c>
      <c r="AG89" s="3727"/>
      <c r="AH89" s="3625"/>
      <c r="AI89" s="3725"/>
      <c r="AJ89" s="3726"/>
      <c r="AK89" s="3729"/>
      <c r="AL89" s="3625"/>
      <c r="AM89" s="4279"/>
      <c r="AN89" s="4280"/>
      <c r="AO89" s="4281" t="s">
        <v>511</v>
      </c>
      <c r="AP89" s="4282"/>
      <c r="AQ89" s="4283"/>
      <c r="AR89" s="4284"/>
      <c r="AS89" s="4285"/>
      <c r="AT89" s="4286"/>
      <c r="AU89" s="4287"/>
      <c r="AV89" s="4288"/>
      <c r="AW89" s="4289"/>
      <c r="AX89" s="4290"/>
      <c r="AY89" s="4291"/>
      <c r="AZ89" s="4292"/>
      <c r="BA89" s="4293"/>
      <c r="BB89" s="4294"/>
      <c r="BC89" s="3762"/>
      <c r="BD89" s="3663"/>
      <c r="BE89" s="3737"/>
      <c r="BF89" s="3737"/>
      <c r="BG89" s="3737"/>
      <c r="BH89" s="3737"/>
    </row>
    <row customHeight="1" ht="14.25">
      <c r="A90" s="3714"/>
      <c r="B90" s="3714"/>
      <c r="C90" s="3714"/>
      <c r="D90" s="3714"/>
      <c r="E90" s="3715"/>
      <c r="F90" s="3715"/>
      <c r="G90" s="3715"/>
      <c r="H90" s="3715"/>
      <c r="I90" s="3716"/>
      <c r="J90" s="3716"/>
      <c r="K90" s="3717" t="str">
        <f>S86&amp;".1"</f>
        <v>.1</v>
      </c>
      <c r="L90" s="3718"/>
      <c r="M90" s="3719"/>
      <c r="N90" s="3719"/>
      <c r="O90" s="3719"/>
      <c r="P90" s="3720"/>
      <c r="Q90" s="3720"/>
      <c r="R90" s="3721">
        <v>1</v>
      </c>
      <c r="S90" s="3722" t="str">
        <f>$K90</f>
        <v>.1</v>
      </c>
      <c r="T90" s="3723"/>
      <c r="U90" s="3724"/>
      <c r="V90" s="3622"/>
      <c r="W90" s="3623"/>
      <c r="X90" s="3622"/>
      <c r="Y90" s="3623"/>
      <c r="Z90" s="3624"/>
      <c r="AA90" s="3625" t="s">
        <v>60</v>
      </c>
      <c r="AB90" s="3624"/>
      <c r="AC90" s="3625" t="s">
        <v>60</v>
      </c>
      <c r="AD90" s="2881" t="s">
        <v>60</v>
      </c>
      <c r="AE90" s="3725"/>
      <c r="AF90" s="3726">
        <v>1</v>
      </c>
      <c r="AG90" s="3727"/>
      <c r="AH90" s="3625" t="s">
        <v>60</v>
      </c>
      <c r="AI90" s="3728" t="s">
        <v>505</v>
      </c>
      <c r="AJ90" s="3726" t="s">
        <v>108</v>
      </c>
      <c r="AK90" s="3729" t="s">
        <v>521</v>
      </c>
      <c r="AL90" s="3625" t="s">
        <v>55</v>
      </c>
      <c r="AM90" s="3730"/>
      <c r="AN90" s="3726">
        <v>1</v>
      </c>
      <c r="AO90" s="3731" t="s">
        <v>24</v>
      </c>
      <c r="AP90" s="3732" t="s">
        <v>60</v>
      </c>
      <c r="AQ90" s="3733"/>
      <c r="AR90" s="3726">
        <v>1</v>
      </c>
      <c r="AS90" s="3734" t="s">
        <v>526</v>
      </c>
      <c r="AT90" s="3622"/>
      <c r="AU90" s="3623">
        <v>19.491</v>
      </c>
      <c r="AV90" s="3622"/>
      <c r="AW90" s="3623">
        <v>23.638</v>
      </c>
      <c r="AX90" s="3624">
        <v>45292.587916666664</v>
      </c>
      <c r="AY90" s="3625" t="s">
        <v>60</v>
      </c>
      <c r="AZ90" s="3624">
        <v>45657.58798611111</v>
      </c>
      <c r="BA90" s="3625" t="s">
        <v>60</v>
      </c>
      <c r="BB90" s="3735"/>
      <c r="BC90" s="3736" t="s">
        <v>488</v>
      </c>
      <c r="BD90" s="3663"/>
      <c r="BE90" s="3737"/>
      <c r="BF90" s="3737" t="str">
        <f>IF(T90="","",T90)</f>
        <v/>
      </c>
      <c r="BG90" s="3737"/>
      <c r="BH90" s="3737"/>
    </row>
    <row customHeight="1" ht="14.25">
      <c r="A91" s="3714"/>
      <c r="B91" s="3714"/>
      <c r="C91" s="3714"/>
      <c r="D91" s="3714"/>
      <c r="E91" s="3715"/>
      <c r="F91" s="3715"/>
      <c r="G91" s="3715"/>
      <c r="H91" s="3715"/>
      <c r="I91" s="3716"/>
      <c r="J91" s="3716"/>
      <c r="K91" s="3717"/>
      <c r="L91" s="3718"/>
      <c r="M91" s="3719"/>
      <c r="N91" s="3719"/>
      <c r="O91" s="3719"/>
      <c r="P91" s="3720"/>
      <c r="Q91" s="3720"/>
      <c r="R91" s="3721"/>
      <c r="S91" s="3738"/>
      <c r="T91" s="3739"/>
      <c r="U91" s="3724"/>
      <c r="V91" s="4295"/>
      <c r="W91" s="4296"/>
      <c r="X91" s="4297"/>
      <c r="Y91" s="4298"/>
      <c r="Z91" s="4299"/>
      <c r="AA91" s="4300"/>
      <c r="AB91" s="4301"/>
      <c r="AC91" s="4302"/>
      <c r="AD91" s="2887"/>
      <c r="AE91" s="3725"/>
      <c r="AF91" s="3726"/>
      <c r="AG91" s="3727"/>
      <c r="AH91" s="3625"/>
      <c r="AI91" s="3725"/>
      <c r="AJ91" s="3726">
        <v>1</v>
      </c>
      <c r="AK91" s="3729"/>
      <c r="AL91" s="3625"/>
      <c r="AM91" s="3748"/>
      <c r="AN91" s="3726"/>
      <c r="AO91" s="3731" t="s">
        <v>24</v>
      </c>
      <c r="AP91" s="3749"/>
      <c r="AQ91" s="4303"/>
      <c r="AR91" s="4304"/>
      <c r="AS91" s="4305" t="s">
        <v>489</v>
      </c>
      <c r="AT91" s="4306"/>
      <c r="AU91" s="4307"/>
      <c r="AV91" s="4308"/>
      <c r="AW91" s="4309"/>
      <c r="AX91" s="4310"/>
      <c r="AY91" s="4311"/>
      <c r="AZ91" s="4312"/>
      <c r="BA91" s="4313"/>
      <c r="BB91" s="4314"/>
      <c r="BC91" s="3762"/>
      <c r="BD91" s="3663"/>
      <c r="BE91" s="3737"/>
      <c r="BF91" s="3737"/>
      <c r="BG91" s="3737"/>
      <c r="BH91" s="3737"/>
    </row>
    <row customHeight="1" ht="14.25">
      <c r="A92" s="3714"/>
      <c r="B92" s="3714"/>
      <c r="C92" s="3714"/>
      <c r="D92" s="3714"/>
      <c r="E92" s="3715"/>
      <c r="F92" s="3715"/>
      <c r="G92" s="3715"/>
      <c r="H92" s="3715"/>
      <c r="I92" s="3716"/>
      <c r="J92" s="3716"/>
      <c r="K92" s="3717"/>
      <c r="L92" s="3718"/>
      <c r="M92" s="3719"/>
      <c r="N92" s="3719"/>
      <c r="O92" s="3719"/>
      <c r="P92" s="3720"/>
      <c r="Q92" s="3720"/>
      <c r="R92" s="3721"/>
      <c r="S92" s="3738"/>
      <c r="T92" s="3739"/>
      <c r="U92" s="3724"/>
      <c r="V92" s="4315"/>
      <c r="W92" s="4316"/>
      <c r="X92" s="4317"/>
      <c r="Y92" s="4318"/>
      <c r="Z92" s="4319"/>
      <c r="AA92" s="4320"/>
      <c r="AB92" s="4321"/>
      <c r="AC92" s="4322"/>
      <c r="AD92" s="2887"/>
      <c r="AE92" s="3725"/>
      <c r="AF92" s="3726"/>
      <c r="AG92" s="3727"/>
      <c r="AH92" s="3625"/>
      <c r="AI92" s="3725"/>
      <c r="AJ92" s="3726">
        <v>1</v>
      </c>
      <c r="AK92" s="3729"/>
      <c r="AL92" s="3625"/>
      <c r="AM92" s="4323"/>
      <c r="AN92" s="4324"/>
      <c r="AO92" s="4325" t="s">
        <v>511</v>
      </c>
      <c r="AP92" s="4326"/>
      <c r="AQ92" s="4327"/>
      <c r="AR92" s="4328"/>
      <c r="AS92" s="4329"/>
      <c r="AT92" s="4330"/>
      <c r="AU92" s="4331"/>
      <c r="AV92" s="4332"/>
      <c r="AW92" s="4333"/>
      <c r="AX92" s="4334"/>
      <c r="AY92" s="4335"/>
      <c r="AZ92" s="4336"/>
      <c r="BA92" s="4337"/>
      <c r="BB92" s="4338"/>
      <c r="BC92" s="3762"/>
      <c r="BD92" s="3663"/>
      <c r="BE92" s="3737"/>
      <c r="BF92" s="3737"/>
      <c r="BG92" s="3737"/>
      <c r="BH92" s="3737"/>
    </row>
    <row customHeight="1" ht="14.25">
      <c r="A93" s="3714"/>
      <c r="B93" s="3714"/>
      <c r="C93" s="3714"/>
      <c r="D93" s="3714"/>
      <c r="E93" s="3715"/>
      <c r="F93" s="3715"/>
      <c r="G93" s="3715"/>
      <c r="H93" s="3715"/>
      <c r="I93" s="3716"/>
      <c r="J93" s="3716"/>
      <c r="K93" s="3717"/>
      <c r="L93" s="3718"/>
      <c r="M93" s="3719"/>
      <c r="N93" s="3719"/>
      <c r="O93" s="3719"/>
      <c r="P93" s="3720"/>
      <c r="Q93" s="3720"/>
      <c r="R93" s="3721"/>
      <c r="S93" s="3738"/>
      <c r="T93" s="3739"/>
      <c r="U93" s="3724"/>
      <c r="V93" s="4339"/>
      <c r="W93" s="4340"/>
      <c r="X93" s="4341"/>
      <c r="Y93" s="4342"/>
      <c r="Z93" s="4343"/>
      <c r="AA93" s="4344"/>
      <c r="AB93" s="4345"/>
      <c r="AC93" s="4346"/>
      <c r="AD93" s="2887"/>
      <c r="AE93" s="3725"/>
      <c r="AF93" s="3726" t="s">
        <v>109</v>
      </c>
      <c r="AG93" s="3727"/>
      <c r="AH93" s="3625"/>
      <c r="AI93" s="4347"/>
      <c r="AJ93" s="4348"/>
      <c r="AK93" s="4349" t="s">
        <v>512</v>
      </c>
      <c r="AL93" s="4350"/>
      <c r="AM93" s="4351"/>
      <c r="AN93" s="4352"/>
      <c r="AO93" s="4353"/>
      <c r="AP93" s="4354"/>
      <c r="AQ93" s="4355"/>
      <c r="AR93" s="4356"/>
      <c r="AS93" s="4357"/>
      <c r="AT93" s="4358"/>
      <c r="AU93" s="4359"/>
      <c r="AV93" s="4360"/>
      <c r="AW93" s="4361"/>
      <c r="AX93" s="4362"/>
      <c r="AY93" s="4363"/>
      <c r="AZ93" s="4364"/>
      <c r="BA93" s="4365"/>
      <c r="BB93" s="4366"/>
      <c r="BC93" s="3762"/>
      <c r="BD93" s="3663"/>
      <c r="BE93" s="3737"/>
      <c r="BF93" s="3737"/>
      <c r="BG93" s="3737"/>
      <c r="BH93" s="3737"/>
    </row>
    <row customHeight="1" ht="14.25">
      <c r="A94" s="3714"/>
      <c r="B94" s="3714"/>
      <c r="C94" s="3714"/>
      <c r="D94" s="3714"/>
      <c r="E94" s="3715"/>
      <c r="F94" s="3715"/>
      <c r="G94" s="3715"/>
      <c r="H94" s="3715"/>
      <c r="I94" s="3716"/>
      <c r="J94" s="3716"/>
      <c r="K94" s="3717" t="str">
        <f>S87&amp;".1"</f>
        <v>1.1.1.1.1.1.1.1.1.1</v>
      </c>
      <c r="L94" s="3718"/>
      <c r="M94" s="3719"/>
      <c r="N94" s="3719"/>
      <c r="O94" s="3719"/>
      <c r="P94" s="3720"/>
      <c r="Q94" s="3720"/>
      <c r="R94" s="3721">
        <v>1</v>
      </c>
      <c r="S94" s="3722" t="str">
        <f>$K94</f>
        <v>1.1.1.1.1.1.1.1.1.1</v>
      </c>
      <c r="T94" s="3723"/>
      <c r="U94" s="3724"/>
      <c r="V94" s="3622"/>
      <c r="W94" s="3623"/>
      <c r="X94" s="3622"/>
      <c r="Y94" s="3623"/>
      <c r="Z94" s="3624"/>
      <c r="AA94" s="3625" t="s">
        <v>60</v>
      </c>
      <c r="AB94" s="3624"/>
      <c r="AC94" s="3625" t="s">
        <v>60</v>
      </c>
      <c r="AD94" s="2881" t="s">
        <v>60</v>
      </c>
      <c r="AE94" s="3728" t="s">
        <v>505</v>
      </c>
      <c r="AF94" s="3726" t="s">
        <v>91</v>
      </c>
      <c r="AG94" s="3727">
        <v>250</v>
      </c>
      <c r="AH94" s="3625" t="s">
        <v>60</v>
      </c>
      <c r="AI94" s="3725"/>
      <c r="AJ94" s="3726">
        <v>1</v>
      </c>
      <c r="AK94" s="3729" t="s">
        <v>519</v>
      </c>
      <c r="AL94" s="3625" t="s">
        <v>55</v>
      </c>
      <c r="AM94" s="3730"/>
      <c r="AN94" s="3726">
        <v>1</v>
      </c>
      <c r="AO94" s="3731" t="s">
        <v>24</v>
      </c>
      <c r="AP94" s="3732" t="s">
        <v>60</v>
      </c>
      <c r="AQ94" s="3733"/>
      <c r="AR94" s="3726">
        <v>1</v>
      </c>
      <c r="AS94" s="3734" t="s">
        <v>527</v>
      </c>
      <c r="AT94" s="3622"/>
      <c r="AU94" s="3623">
        <v>19.491</v>
      </c>
      <c r="AV94" s="3622"/>
      <c r="AW94" s="3623">
        <v>17.417</v>
      </c>
      <c r="AX94" s="3624">
        <v>45292.58806712963</v>
      </c>
      <c r="AY94" s="3625" t="s">
        <v>60</v>
      </c>
      <c r="AZ94" s="3624">
        <v>45657.58813657407</v>
      </c>
      <c r="BA94" s="3625" t="s">
        <v>60</v>
      </c>
      <c r="BB94" s="3735"/>
      <c r="BC94" s="3736" t="s">
        <v>488</v>
      </c>
      <c r="BD94" s="3663"/>
      <c r="BE94" s="3737"/>
      <c r="BF94" s="3737" t="str">
        <f>IF(T94="","",T94)</f>
        <v/>
      </c>
      <c r="BG94" s="3737"/>
      <c r="BH94" s="3737"/>
    </row>
    <row customHeight="1" ht="14.25">
      <c r="A95" s="3714"/>
      <c r="B95" s="3714"/>
      <c r="C95" s="3714"/>
      <c r="D95" s="3714"/>
      <c r="E95" s="3715"/>
      <c r="F95" s="3715"/>
      <c r="G95" s="3715"/>
      <c r="H95" s="3715"/>
      <c r="I95" s="3716"/>
      <c r="J95" s="3716"/>
      <c r="K95" s="3717"/>
      <c r="L95" s="3718"/>
      <c r="M95" s="3719"/>
      <c r="N95" s="3719"/>
      <c r="O95" s="3719"/>
      <c r="P95" s="3720"/>
      <c r="Q95" s="3720"/>
      <c r="R95" s="3721"/>
      <c r="S95" s="3738"/>
      <c r="T95" s="3739"/>
      <c r="U95" s="3724"/>
      <c r="V95" s="4367"/>
      <c r="W95" s="4368"/>
      <c r="X95" s="4369"/>
      <c r="Y95" s="4370"/>
      <c r="Z95" s="4371"/>
      <c r="AA95" s="4372"/>
      <c r="AB95" s="4373"/>
      <c r="AC95" s="4374"/>
      <c r="AD95" s="2887"/>
      <c r="AE95" s="3725"/>
      <c r="AF95" s="3726" t="s">
        <v>90</v>
      </c>
      <c r="AG95" s="3727"/>
      <c r="AH95" s="3625"/>
      <c r="AI95" s="3725"/>
      <c r="AJ95" s="3726"/>
      <c r="AK95" s="3729"/>
      <c r="AL95" s="3625"/>
      <c r="AM95" s="3748"/>
      <c r="AN95" s="3726"/>
      <c r="AO95" s="3731" t="s">
        <v>24</v>
      </c>
      <c r="AP95" s="3749"/>
      <c r="AQ95" s="4375"/>
      <c r="AR95" s="4376"/>
      <c r="AS95" s="4377" t="s">
        <v>489</v>
      </c>
      <c r="AT95" s="4378"/>
      <c r="AU95" s="4379"/>
      <c r="AV95" s="4380"/>
      <c r="AW95" s="4381"/>
      <c r="AX95" s="4382"/>
      <c r="AY95" s="4383"/>
      <c r="AZ95" s="4384"/>
      <c r="BA95" s="4385"/>
      <c r="BB95" s="4386"/>
      <c r="BC95" s="3762"/>
      <c r="BD95" s="3663"/>
      <c r="BE95" s="3737"/>
      <c r="BF95" s="3737"/>
      <c r="BG95" s="3737"/>
      <c r="BH95" s="3737"/>
    </row>
    <row customHeight="1" ht="14.25">
      <c r="A96" s="3714"/>
      <c r="B96" s="3714"/>
      <c r="C96" s="3714"/>
      <c r="D96" s="3714"/>
      <c r="E96" s="3715"/>
      <c r="F96" s="3715"/>
      <c r="G96" s="3715"/>
      <c r="H96" s="3715"/>
      <c r="I96" s="3716"/>
      <c r="J96" s="3716"/>
      <c r="K96" s="3717"/>
      <c r="L96" s="3718"/>
      <c r="M96" s="3719"/>
      <c r="N96" s="3719"/>
      <c r="O96" s="3719"/>
      <c r="P96" s="3720"/>
      <c r="Q96" s="3720"/>
      <c r="R96" s="3721"/>
      <c r="S96" s="3738"/>
      <c r="T96" s="3739"/>
      <c r="U96" s="3724"/>
      <c r="V96" s="4387"/>
      <c r="W96" s="4388"/>
      <c r="X96" s="4389"/>
      <c r="Y96" s="4390"/>
      <c r="Z96" s="4391"/>
      <c r="AA96" s="4392"/>
      <c r="AB96" s="4393"/>
      <c r="AC96" s="4394"/>
      <c r="AD96" s="2887"/>
      <c r="AE96" s="3725"/>
      <c r="AF96" s="3726" t="s">
        <v>90</v>
      </c>
      <c r="AG96" s="3727"/>
      <c r="AH96" s="3625"/>
      <c r="AI96" s="3725"/>
      <c r="AJ96" s="3726"/>
      <c r="AK96" s="3729"/>
      <c r="AL96" s="3625"/>
      <c r="AM96" s="4395"/>
      <c r="AN96" s="4396"/>
      <c r="AO96" s="4397" t="s">
        <v>511</v>
      </c>
      <c r="AP96" s="4398"/>
      <c r="AQ96" s="4399"/>
      <c r="AR96" s="4400"/>
      <c r="AS96" s="4401"/>
      <c r="AT96" s="4402"/>
      <c r="AU96" s="4403"/>
      <c r="AV96" s="4404"/>
      <c r="AW96" s="4405"/>
      <c r="AX96" s="4406"/>
      <c r="AY96" s="4407"/>
      <c r="AZ96" s="4408"/>
      <c r="BA96" s="4409"/>
      <c r="BB96" s="4410"/>
      <c r="BC96" s="3762"/>
      <c r="BD96" s="3663"/>
      <c r="BE96" s="3737"/>
      <c r="BF96" s="3737"/>
      <c r="BG96" s="3737"/>
      <c r="BH96" s="3737"/>
    </row>
    <row customHeight="1" ht="14.25">
      <c r="A97" s="3714"/>
      <c r="B97" s="3714"/>
      <c r="C97" s="3714"/>
      <c r="D97" s="3714"/>
      <c r="E97" s="3715"/>
      <c r="F97" s="3715"/>
      <c r="G97" s="3715"/>
      <c r="H97" s="3715"/>
      <c r="I97" s="3716"/>
      <c r="J97" s="3716"/>
      <c r="K97" s="3717" t="str">
        <f>S93&amp;".1"</f>
        <v>.1</v>
      </c>
      <c r="L97" s="3718"/>
      <c r="M97" s="3719"/>
      <c r="N97" s="3719"/>
      <c r="O97" s="3719"/>
      <c r="P97" s="3720"/>
      <c r="Q97" s="3720"/>
      <c r="R97" s="3721">
        <v>1</v>
      </c>
      <c r="S97" s="3722" t="str">
        <f>$K97</f>
        <v>.1</v>
      </c>
      <c r="T97" s="3723"/>
      <c r="U97" s="3724"/>
      <c r="V97" s="3622"/>
      <c r="W97" s="3623"/>
      <c r="X97" s="3622"/>
      <c r="Y97" s="3623"/>
      <c r="Z97" s="3624"/>
      <c r="AA97" s="3625" t="s">
        <v>60</v>
      </c>
      <c r="AB97" s="3624"/>
      <c r="AC97" s="3625" t="s">
        <v>60</v>
      </c>
      <c r="AD97" s="2881" t="s">
        <v>60</v>
      </c>
      <c r="AE97" s="3725"/>
      <c r="AF97" s="3726">
        <v>1</v>
      </c>
      <c r="AG97" s="3727"/>
      <c r="AH97" s="3625" t="s">
        <v>60</v>
      </c>
      <c r="AI97" s="3728" t="s">
        <v>505</v>
      </c>
      <c r="AJ97" s="3726" t="s">
        <v>108</v>
      </c>
      <c r="AK97" s="3729" t="s">
        <v>521</v>
      </c>
      <c r="AL97" s="3625" t="s">
        <v>55</v>
      </c>
      <c r="AM97" s="3730"/>
      <c r="AN97" s="3726">
        <v>1</v>
      </c>
      <c r="AO97" s="3731" t="s">
        <v>24</v>
      </c>
      <c r="AP97" s="3732" t="s">
        <v>60</v>
      </c>
      <c r="AQ97" s="3733"/>
      <c r="AR97" s="3726">
        <v>1</v>
      </c>
      <c r="AS97" s="3734" t="s">
        <v>527</v>
      </c>
      <c r="AT97" s="3622"/>
      <c r="AU97" s="3623">
        <v>19.491</v>
      </c>
      <c r="AV97" s="3622"/>
      <c r="AW97" s="3623">
        <v>18.428</v>
      </c>
      <c r="AX97" s="3624">
        <v>45292.58834490741</v>
      </c>
      <c r="AY97" s="3625" t="s">
        <v>60</v>
      </c>
      <c r="AZ97" s="3624">
        <v>45657.58840277778</v>
      </c>
      <c r="BA97" s="3625" t="s">
        <v>60</v>
      </c>
      <c r="BB97" s="3735"/>
      <c r="BC97" s="3736" t="s">
        <v>488</v>
      </c>
      <c r="BD97" s="3663"/>
      <c r="BE97" s="3737"/>
      <c r="BF97" s="3737" t="str">
        <f>IF(T97="","",T97)</f>
        <v/>
      </c>
      <c r="BG97" s="3737"/>
      <c r="BH97" s="3737"/>
    </row>
    <row customHeight="1" ht="14.25">
      <c r="A98" s="3714"/>
      <c r="B98" s="3714"/>
      <c r="C98" s="3714"/>
      <c r="D98" s="3714"/>
      <c r="E98" s="3715"/>
      <c r="F98" s="3715"/>
      <c r="G98" s="3715"/>
      <c r="H98" s="3715"/>
      <c r="I98" s="3716"/>
      <c r="J98" s="3716"/>
      <c r="K98" s="3717"/>
      <c r="L98" s="3718"/>
      <c r="M98" s="3719"/>
      <c r="N98" s="3719"/>
      <c r="O98" s="3719"/>
      <c r="P98" s="3720"/>
      <c r="Q98" s="3720"/>
      <c r="R98" s="3721"/>
      <c r="S98" s="3738"/>
      <c r="T98" s="3739"/>
      <c r="U98" s="3724"/>
      <c r="V98" s="4411"/>
      <c r="W98" s="4412"/>
      <c r="X98" s="4413"/>
      <c r="Y98" s="4414"/>
      <c r="Z98" s="4415"/>
      <c r="AA98" s="4416"/>
      <c r="AB98" s="4417"/>
      <c r="AC98" s="4418"/>
      <c r="AD98" s="2887"/>
      <c r="AE98" s="3725"/>
      <c r="AF98" s="3726"/>
      <c r="AG98" s="3727"/>
      <c r="AH98" s="3625"/>
      <c r="AI98" s="3725"/>
      <c r="AJ98" s="3726">
        <v>1</v>
      </c>
      <c r="AK98" s="3729"/>
      <c r="AL98" s="3625"/>
      <c r="AM98" s="3748"/>
      <c r="AN98" s="3726"/>
      <c r="AO98" s="3731" t="s">
        <v>24</v>
      </c>
      <c r="AP98" s="3749"/>
      <c r="AQ98" s="4419"/>
      <c r="AR98" s="4420"/>
      <c r="AS98" s="4421" t="s">
        <v>489</v>
      </c>
      <c r="AT98" s="4422"/>
      <c r="AU98" s="4423"/>
      <c r="AV98" s="4424"/>
      <c r="AW98" s="4425"/>
      <c r="AX98" s="4426"/>
      <c r="AY98" s="4427"/>
      <c r="AZ98" s="4428"/>
      <c r="BA98" s="4429"/>
      <c r="BB98" s="4430"/>
      <c r="BC98" s="3762"/>
      <c r="BD98" s="3663"/>
      <c r="BE98" s="3737"/>
      <c r="BF98" s="3737"/>
      <c r="BG98" s="3737"/>
      <c r="BH98" s="3737"/>
    </row>
    <row customHeight="1" ht="14.25">
      <c r="A99" s="3714"/>
      <c r="B99" s="3714"/>
      <c r="C99" s="3714"/>
      <c r="D99" s="3714"/>
      <c r="E99" s="3715"/>
      <c r="F99" s="3715"/>
      <c r="G99" s="3715"/>
      <c r="H99" s="3715"/>
      <c r="I99" s="3716"/>
      <c r="J99" s="3716"/>
      <c r="K99" s="3717"/>
      <c r="L99" s="3718"/>
      <c r="M99" s="3719"/>
      <c r="N99" s="3719"/>
      <c r="O99" s="3719"/>
      <c r="P99" s="3720"/>
      <c r="Q99" s="3720"/>
      <c r="R99" s="3721"/>
      <c r="S99" s="3738"/>
      <c r="T99" s="3739"/>
      <c r="U99" s="3724"/>
      <c r="V99" s="4431"/>
      <c r="W99" s="4432"/>
      <c r="X99" s="4433"/>
      <c r="Y99" s="4434"/>
      <c r="Z99" s="4435"/>
      <c r="AA99" s="4436"/>
      <c r="AB99" s="4437"/>
      <c r="AC99" s="4438"/>
      <c r="AD99" s="2887"/>
      <c r="AE99" s="3725"/>
      <c r="AF99" s="3726"/>
      <c r="AG99" s="3727"/>
      <c r="AH99" s="3625"/>
      <c r="AI99" s="3725"/>
      <c r="AJ99" s="3726">
        <v>1</v>
      </c>
      <c r="AK99" s="3729"/>
      <c r="AL99" s="3625"/>
      <c r="AM99" s="4439"/>
      <c r="AN99" s="4440"/>
      <c r="AO99" s="4441" t="s">
        <v>511</v>
      </c>
      <c r="AP99" s="4442"/>
      <c r="AQ99" s="4443"/>
      <c r="AR99" s="4444"/>
      <c r="AS99" s="4445"/>
      <c r="AT99" s="4446"/>
      <c r="AU99" s="4447"/>
      <c r="AV99" s="4448"/>
      <c r="AW99" s="4449"/>
      <c r="AX99" s="4450"/>
      <c r="AY99" s="4451"/>
      <c r="AZ99" s="4452"/>
      <c r="BA99" s="4453"/>
      <c r="BB99" s="4454"/>
      <c r="BC99" s="3762"/>
      <c r="BD99" s="3663"/>
      <c r="BE99" s="3737"/>
      <c r="BF99" s="3737"/>
      <c r="BG99" s="3737"/>
      <c r="BH99" s="3737"/>
    </row>
    <row customHeight="1" ht="14.25">
      <c r="A100" s="3714"/>
      <c r="B100" s="3714"/>
      <c r="C100" s="3714"/>
      <c r="D100" s="3714"/>
      <c r="E100" s="3715"/>
      <c r="F100" s="3715"/>
      <c r="G100" s="3715"/>
      <c r="H100" s="3715"/>
      <c r="I100" s="3716"/>
      <c r="J100" s="3716"/>
      <c r="K100" s="3717"/>
      <c r="L100" s="3718"/>
      <c r="M100" s="3719"/>
      <c r="N100" s="3719"/>
      <c r="O100" s="3719"/>
      <c r="P100" s="3720"/>
      <c r="Q100" s="3720"/>
      <c r="R100" s="3721"/>
      <c r="S100" s="3738"/>
      <c r="T100" s="3739"/>
      <c r="U100" s="3724"/>
      <c r="V100" s="4455"/>
      <c r="W100" s="4456"/>
      <c r="X100" s="4457"/>
      <c r="Y100" s="4458"/>
      <c r="Z100" s="4459"/>
      <c r="AA100" s="4460"/>
      <c r="AB100" s="4461"/>
      <c r="AC100" s="4462"/>
      <c r="AD100" s="2887"/>
      <c r="AE100" s="3725"/>
      <c r="AF100" s="3726" t="s">
        <v>90</v>
      </c>
      <c r="AG100" s="3727"/>
      <c r="AH100" s="3625"/>
      <c r="AI100" s="4463"/>
      <c r="AJ100" s="4464"/>
      <c r="AK100" s="4465" t="s">
        <v>512</v>
      </c>
      <c r="AL100" s="4466"/>
      <c r="AM100" s="4467"/>
      <c r="AN100" s="4468"/>
      <c r="AO100" s="4469"/>
      <c r="AP100" s="4470"/>
      <c r="AQ100" s="4471"/>
      <c r="AR100" s="4472"/>
      <c r="AS100" s="4473"/>
      <c r="AT100" s="4474"/>
      <c r="AU100" s="4475"/>
      <c r="AV100" s="4476"/>
      <c r="AW100" s="4477"/>
      <c r="AX100" s="4478"/>
      <c r="AY100" s="4479"/>
      <c r="AZ100" s="4480"/>
      <c r="BA100" s="4481"/>
      <c r="BB100" s="4482"/>
      <c r="BC100" s="3762"/>
      <c r="BD100" s="3663"/>
      <c r="BE100" s="3737"/>
      <c r="BF100" s="3737"/>
      <c r="BG100" s="3737"/>
      <c r="BH100" s="3737"/>
    </row>
    <row customHeight="1" ht="14.25">
      <c r="A101" s="3714"/>
      <c r="B101" s="3714"/>
      <c r="C101" s="3714"/>
      <c r="D101" s="3714"/>
      <c r="E101" s="3715"/>
      <c r="F101" s="3715"/>
      <c r="G101" s="3715"/>
      <c r="H101" s="3715"/>
      <c r="I101" s="3716"/>
      <c r="J101" s="3716"/>
      <c r="K101" s="3717" t="str">
        <f>S94&amp;".1"</f>
        <v>1.1.1.1.1.1.1.1.1.1.1</v>
      </c>
      <c r="L101" s="3718"/>
      <c r="M101" s="3719"/>
      <c r="N101" s="3719"/>
      <c r="O101" s="3719"/>
      <c r="P101" s="3720"/>
      <c r="Q101" s="3720"/>
      <c r="R101" s="3721">
        <v>1</v>
      </c>
      <c r="S101" s="3722" t="str">
        <f>$K101</f>
        <v>1.1.1.1.1.1.1.1.1.1.1</v>
      </c>
      <c r="T101" s="3723"/>
      <c r="U101" s="3724"/>
      <c r="V101" s="3622"/>
      <c r="W101" s="3623"/>
      <c r="X101" s="3622"/>
      <c r="Y101" s="3623"/>
      <c r="Z101" s="3624"/>
      <c r="AA101" s="3625" t="s">
        <v>60</v>
      </c>
      <c r="AB101" s="3624"/>
      <c r="AC101" s="3625" t="s">
        <v>60</v>
      </c>
      <c r="AD101" s="2881" t="s">
        <v>60</v>
      </c>
      <c r="AE101" s="3728" t="s">
        <v>505</v>
      </c>
      <c r="AF101" s="3726" t="s">
        <v>110</v>
      </c>
      <c r="AG101" s="3727">
        <v>250</v>
      </c>
      <c r="AH101" s="3625" t="s">
        <v>60</v>
      </c>
      <c r="AI101" s="3725"/>
      <c r="AJ101" s="3726">
        <v>1</v>
      </c>
      <c r="AK101" s="3729" t="s">
        <v>519</v>
      </c>
      <c r="AL101" s="3625" t="s">
        <v>55</v>
      </c>
      <c r="AM101" s="3730"/>
      <c r="AN101" s="3726">
        <v>1</v>
      </c>
      <c r="AO101" s="3731" t="s">
        <v>24</v>
      </c>
      <c r="AP101" s="3732" t="s">
        <v>60</v>
      </c>
      <c r="AQ101" s="3733"/>
      <c r="AR101" s="3726">
        <v>1</v>
      </c>
      <c r="AS101" s="3734" t="s">
        <v>528</v>
      </c>
      <c r="AT101" s="3622"/>
      <c r="AU101" s="3623">
        <v>19.491</v>
      </c>
      <c r="AV101" s="3622"/>
      <c r="AW101" s="3623">
        <v>25.491</v>
      </c>
      <c r="AX101" s="3624">
        <v>45292.58857638889</v>
      </c>
      <c r="AY101" s="3625" t="s">
        <v>60</v>
      </c>
      <c r="AZ101" s="3624">
        <v>45657.58863425926</v>
      </c>
      <c r="BA101" s="3625" t="s">
        <v>60</v>
      </c>
      <c r="BB101" s="3735"/>
      <c r="BC101" s="3736" t="s">
        <v>488</v>
      </c>
      <c r="BD101" s="3663"/>
      <c r="BE101" s="3737"/>
      <c r="BF101" s="3737" t="str">
        <f>IF(T101="","",T101)</f>
        <v/>
      </c>
      <c r="BG101" s="3737"/>
      <c r="BH101" s="3737"/>
    </row>
    <row customHeight="1" ht="14.25">
      <c r="A102" s="3714"/>
      <c r="B102" s="3714"/>
      <c r="C102" s="3714"/>
      <c r="D102" s="3714"/>
      <c r="E102" s="3715"/>
      <c r="F102" s="3715"/>
      <c r="G102" s="3715"/>
      <c r="H102" s="3715"/>
      <c r="I102" s="3716"/>
      <c r="J102" s="3716"/>
      <c r="K102" s="3717"/>
      <c r="L102" s="3718"/>
      <c r="M102" s="3719"/>
      <c r="N102" s="3719"/>
      <c r="O102" s="3719"/>
      <c r="P102" s="3720"/>
      <c r="Q102" s="3720"/>
      <c r="R102" s="3721"/>
      <c r="S102" s="3738"/>
      <c r="T102" s="3739"/>
      <c r="U102" s="3724"/>
      <c r="V102" s="4483"/>
      <c r="W102" s="4484"/>
      <c r="X102" s="4485"/>
      <c r="Y102" s="4486"/>
      <c r="Z102" s="4487"/>
      <c r="AA102" s="4488"/>
      <c r="AB102" s="4489"/>
      <c r="AC102" s="4490"/>
      <c r="AD102" s="2887"/>
      <c r="AE102" s="3725"/>
      <c r="AF102" s="3726" t="s">
        <v>91</v>
      </c>
      <c r="AG102" s="3727"/>
      <c r="AH102" s="3625"/>
      <c r="AI102" s="3725"/>
      <c r="AJ102" s="3726"/>
      <c r="AK102" s="3729"/>
      <c r="AL102" s="3625"/>
      <c r="AM102" s="3748"/>
      <c r="AN102" s="3726"/>
      <c r="AO102" s="3731" t="s">
        <v>24</v>
      </c>
      <c r="AP102" s="3749"/>
      <c r="AQ102" s="4491"/>
      <c r="AR102" s="4492"/>
      <c r="AS102" s="4493" t="s">
        <v>489</v>
      </c>
      <c r="AT102" s="4494"/>
      <c r="AU102" s="4495"/>
      <c r="AV102" s="4496"/>
      <c r="AW102" s="4497"/>
      <c r="AX102" s="4498"/>
      <c r="AY102" s="4499"/>
      <c r="AZ102" s="4500"/>
      <c r="BA102" s="4501"/>
      <c r="BB102" s="4502"/>
      <c r="BC102" s="3762"/>
      <c r="BD102" s="3663"/>
      <c r="BE102" s="3737"/>
      <c r="BF102" s="3737"/>
      <c r="BG102" s="3737"/>
      <c r="BH102" s="3737"/>
    </row>
    <row customHeight="1" ht="14.25">
      <c r="A103" s="3714"/>
      <c r="B103" s="3714"/>
      <c r="C103" s="3714"/>
      <c r="D103" s="3714"/>
      <c r="E103" s="3715"/>
      <c r="F103" s="3715"/>
      <c r="G103" s="3715"/>
      <c r="H103" s="3715"/>
      <c r="I103" s="3716"/>
      <c r="J103" s="3716"/>
      <c r="K103" s="3717"/>
      <c r="L103" s="3718"/>
      <c r="M103" s="3719"/>
      <c r="N103" s="3719"/>
      <c r="O103" s="3719"/>
      <c r="P103" s="3720"/>
      <c r="Q103" s="3720"/>
      <c r="R103" s="3721"/>
      <c r="S103" s="3738"/>
      <c r="T103" s="3739"/>
      <c r="U103" s="3724"/>
      <c r="V103" s="4503"/>
      <c r="W103" s="4504"/>
      <c r="X103" s="4505"/>
      <c r="Y103" s="4506"/>
      <c r="Z103" s="4507"/>
      <c r="AA103" s="4508"/>
      <c r="AB103" s="4509"/>
      <c r="AC103" s="4510"/>
      <c r="AD103" s="2887"/>
      <c r="AE103" s="3725"/>
      <c r="AF103" s="3726" t="s">
        <v>91</v>
      </c>
      <c r="AG103" s="3727"/>
      <c r="AH103" s="3625"/>
      <c r="AI103" s="3725"/>
      <c r="AJ103" s="3726"/>
      <c r="AK103" s="3729"/>
      <c r="AL103" s="3625"/>
      <c r="AM103" s="4511"/>
      <c r="AN103" s="4512"/>
      <c r="AO103" s="4513" t="s">
        <v>511</v>
      </c>
      <c r="AP103" s="4514"/>
      <c r="AQ103" s="4515"/>
      <c r="AR103" s="4516"/>
      <c r="AS103" s="4517"/>
      <c r="AT103" s="4518"/>
      <c r="AU103" s="4519"/>
      <c r="AV103" s="4520"/>
      <c r="AW103" s="4521"/>
      <c r="AX103" s="4522"/>
      <c r="AY103" s="4523"/>
      <c r="AZ103" s="4524"/>
      <c r="BA103" s="4525"/>
      <c r="BB103" s="4526"/>
      <c r="BC103" s="3762"/>
      <c r="BD103" s="3663"/>
      <c r="BE103" s="3737"/>
      <c r="BF103" s="3737"/>
      <c r="BG103" s="3737"/>
      <c r="BH103" s="3737"/>
    </row>
    <row customHeight="1" ht="14.25">
      <c r="A104" s="3714"/>
      <c r="B104" s="3714"/>
      <c r="C104" s="3714"/>
      <c r="D104" s="3714"/>
      <c r="E104" s="3715"/>
      <c r="F104" s="3715"/>
      <c r="G104" s="3715"/>
      <c r="H104" s="3715"/>
      <c r="I104" s="3716"/>
      <c r="J104" s="3716"/>
      <c r="K104" s="3717" t="str">
        <f>S100&amp;".1"</f>
        <v>.1</v>
      </c>
      <c r="L104" s="3718"/>
      <c r="M104" s="3719"/>
      <c r="N104" s="3719"/>
      <c r="O104" s="3719"/>
      <c r="P104" s="3720"/>
      <c r="Q104" s="3720"/>
      <c r="R104" s="3721">
        <v>1</v>
      </c>
      <c r="S104" s="3722" t="str">
        <f>$K104</f>
        <v>.1</v>
      </c>
      <c r="T104" s="3723"/>
      <c r="U104" s="3724"/>
      <c r="V104" s="3622"/>
      <c r="W104" s="3623"/>
      <c r="X104" s="3622"/>
      <c r="Y104" s="3623"/>
      <c r="Z104" s="3624"/>
      <c r="AA104" s="3625" t="s">
        <v>60</v>
      </c>
      <c r="AB104" s="3624"/>
      <c r="AC104" s="3625" t="s">
        <v>60</v>
      </c>
      <c r="AD104" s="2881" t="s">
        <v>60</v>
      </c>
      <c r="AE104" s="3725"/>
      <c r="AF104" s="3726">
        <v>1</v>
      </c>
      <c r="AG104" s="3727"/>
      <c r="AH104" s="3625" t="s">
        <v>60</v>
      </c>
      <c r="AI104" s="3728" t="s">
        <v>505</v>
      </c>
      <c r="AJ104" s="3726" t="s">
        <v>108</v>
      </c>
      <c r="AK104" s="3729" t="s">
        <v>521</v>
      </c>
      <c r="AL104" s="3625" t="s">
        <v>55</v>
      </c>
      <c r="AM104" s="3730"/>
      <c r="AN104" s="3726">
        <v>1</v>
      </c>
      <c r="AO104" s="3731" t="s">
        <v>24</v>
      </c>
      <c r="AP104" s="3732" t="s">
        <v>60</v>
      </c>
      <c r="AQ104" s="3733"/>
      <c r="AR104" s="3726">
        <v>1</v>
      </c>
      <c r="AS104" s="3734" t="s">
        <v>528</v>
      </c>
      <c r="AT104" s="3622"/>
      <c r="AU104" s="3623">
        <v>19.491</v>
      </c>
      <c r="AV104" s="3622"/>
      <c r="AW104" s="3623">
        <v>26.502</v>
      </c>
      <c r="AX104" s="3624">
        <v>45292.5887037037</v>
      </c>
      <c r="AY104" s="3625" t="s">
        <v>60</v>
      </c>
      <c r="AZ104" s="3624">
        <v>45657.58875</v>
      </c>
      <c r="BA104" s="3625" t="s">
        <v>60</v>
      </c>
      <c r="BB104" s="3735"/>
      <c r="BC104" s="3736" t="s">
        <v>488</v>
      </c>
      <c r="BD104" s="3663"/>
      <c r="BE104" s="3737"/>
      <c r="BF104" s="3737" t="str">
        <f>IF(T104="","",T104)</f>
        <v/>
      </c>
      <c r="BG104" s="3737"/>
      <c r="BH104" s="3737"/>
    </row>
    <row customHeight="1" ht="14.25">
      <c r="A105" s="3714"/>
      <c r="B105" s="3714"/>
      <c r="C105" s="3714"/>
      <c r="D105" s="3714"/>
      <c r="E105" s="3715"/>
      <c r="F105" s="3715"/>
      <c r="G105" s="3715"/>
      <c r="H105" s="3715"/>
      <c r="I105" s="3716"/>
      <c r="J105" s="3716"/>
      <c r="K105" s="3717"/>
      <c r="L105" s="3718"/>
      <c r="M105" s="3719"/>
      <c r="N105" s="3719"/>
      <c r="O105" s="3719"/>
      <c r="P105" s="3720"/>
      <c r="Q105" s="3720"/>
      <c r="R105" s="3721"/>
      <c r="S105" s="3738"/>
      <c r="T105" s="3739"/>
      <c r="U105" s="3724"/>
      <c r="V105" s="4527"/>
      <c r="W105" s="4528"/>
      <c r="X105" s="4529"/>
      <c r="Y105" s="4530"/>
      <c r="Z105" s="4531"/>
      <c r="AA105" s="4532"/>
      <c r="AB105" s="4533"/>
      <c r="AC105" s="4534"/>
      <c r="AD105" s="2887"/>
      <c r="AE105" s="3725"/>
      <c r="AF105" s="3726"/>
      <c r="AG105" s="3727"/>
      <c r="AH105" s="3625"/>
      <c r="AI105" s="3725"/>
      <c r="AJ105" s="3726">
        <v>1</v>
      </c>
      <c r="AK105" s="3729"/>
      <c r="AL105" s="3625"/>
      <c r="AM105" s="3748"/>
      <c r="AN105" s="3726"/>
      <c r="AO105" s="3731" t="s">
        <v>24</v>
      </c>
      <c r="AP105" s="3749"/>
      <c r="AQ105" s="4535"/>
      <c r="AR105" s="4536"/>
      <c r="AS105" s="4537" t="s">
        <v>489</v>
      </c>
      <c r="AT105" s="4538"/>
      <c r="AU105" s="4539"/>
      <c r="AV105" s="4540"/>
      <c r="AW105" s="4541"/>
      <c r="AX105" s="4542"/>
      <c r="AY105" s="4543"/>
      <c r="AZ105" s="4544"/>
      <c r="BA105" s="4545"/>
      <c r="BB105" s="4546"/>
      <c r="BC105" s="3762"/>
      <c r="BD105" s="3663"/>
      <c r="BE105" s="3737"/>
      <c r="BF105" s="3737"/>
      <c r="BG105" s="3737"/>
      <c r="BH105" s="3737"/>
    </row>
    <row customHeight="1" ht="14.25">
      <c r="A106" s="3714"/>
      <c r="B106" s="3714"/>
      <c r="C106" s="3714"/>
      <c r="D106" s="3714"/>
      <c r="E106" s="3715"/>
      <c r="F106" s="3715"/>
      <c r="G106" s="3715"/>
      <c r="H106" s="3715"/>
      <c r="I106" s="3716"/>
      <c r="J106" s="3716"/>
      <c r="K106" s="3717"/>
      <c r="L106" s="3718"/>
      <c r="M106" s="3719"/>
      <c r="N106" s="3719"/>
      <c r="O106" s="3719"/>
      <c r="P106" s="3720"/>
      <c r="Q106" s="3720"/>
      <c r="R106" s="3721"/>
      <c r="S106" s="3738"/>
      <c r="T106" s="3739"/>
      <c r="U106" s="3724"/>
      <c r="V106" s="4547"/>
      <c r="W106" s="4548"/>
      <c r="X106" s="4549"/>
      <c r="Y106" s="4550"/>
      <c r="Z106" s="4551"/>
      <c r="AA106" s="4552"/>
      <c r="AB106" s="4553"/>
      <c r="AC106" s="4554"/>
      <c r="AD106" s="2887"/>
      <c r="AE106" s="3725"/>
      <c r="AF106" s="3726"/>
      <c r="AG106" s="3727"/>
      <c r="AH106" s="3625"/>
      <c r="AI106" s="3725"/>
      <c r="AJ106" s="3726">
        <v>1</v>
      </c>
      <c r="AK106" s="3729"/>
      <c r="AL106" s="3625"/>
      <c r="AM106" s="4555"/>
      <c r="AN106" s="4556"/>
      <c r="AO106" s="4557" t="s">
        <v>511</v>
      </c>
      <c r="AP106" s="4558"/>
      <c r="AQ106" s="4559"/>
      <c r="AR106" s="4560"/>
      <c r="AS106" s="4561"/>
      <c r="AT106" s="4562"/>
      <c r="AU106" s="4563"/>
      <c r="AV106" s="4564"/>
      <c r="AW106" s="4565"/>
      <c r="AX106" s="4566"/>
      <c r="AY106" s="4567"/>
      <c r="AZ106" s="4568"/>
      <c r="BA106" s="4569"/>
      <c r="BB106" s="4570"/>
      <c r="BC106" s="3762"/>
      <c r="BD106" s="3663"/>
      <c r="BE106" s="3737"/>
      <c r="BF106" s="3737"/>
      <c r="BG106" s="3737"/>
      <c r="BH106" s="3737"/>
    </row>
    <row customHeight="1" ht="14.25">
      <c r="A107" s="3714"/>
      <c r="B107" s="3714"/>
      <c r="C107" s="3714"/>
      <c r="D107" s="3714"/>
      <c r="E107" s="3715"/>
      <c r="F107" s="3715"/>
      <c r="G107" s="3715"/>
      <c r="H107" s="3715"/>
      <c r="I107" s="3716"/>
      <c r="J107" s="3716"/>
      <c r="K107" s="3717"/>
      <c r="L107" s="3718"/>
      <c r="M107" s="3719"/>
      <c r="N107" s="3719"/>
      <c r="O107" s="3719"/>
      <c r="P107" s="3720"/>
      <c r="Q107" s="3720"/>
      <c r="R107" s="3721"/>
      <c r="S107" s="3738"/>
      <c r="T107" s="3739"/>
      <c r="U107" s="3724"/>
      <c r="V107" s="4571"/>
      <c r="W107" s="4572"/>
      <c r="X107" s="4573"/>
      <c r="Y107" s="4574"/>
      <c r="Z107" s="4575"/>
      <c r="AA107" s="4576"/>
      <c r="AB107" s="4577"/>
      <c r="AC107" s="4578"/>
      <c r="AD107" s="2887"/>
      <c r="AE107" s="3725"/>
      <c r="AF107" s="3726" t="s">
        <v>91</v>
      </c>
      <c r="AG107" s="3727"/>
      <c r="AH107" s="3625"/>
      <c r="AI107" s="4579"/>
      <c r="AJ107" s="4580"/>
      <c r="AK107" s="4581" t="s">
        <v>512</v>
      </c>
      <c r="AL107" s="4582"/>
      <c r="AM107" s="4583"/>
      <c r="AN107" s="4584"/>
      <c r="AO107" s="4585"/>
      <c r="AP107" s="4586"/>
      <c r="AQ107" s="4587"/>
      <c r="AR107" s="4588"/>
      <c r="AS107" s="4589"/>
      <c r="AT107" s="4590"/>
      <c r="AU107" s="4591"/>
      <c r="AV107" s="4592"/>
      <c r="AW107" s="4593"/>
      <c r="AX107" s="4594"/>
      <c r="AY107" s="4595"/>
      <c r="AZ107" s="4596"/>
      <c r="BA107" s="4597"/>
      <c r="BB107" s="4598"/>
      <c r="BC107" s="3762"/>
      <c r="BD107" s="3663"/>
      <c r="BE107" s="3737"/>
      <c r="BF107" s="3737"/>
      <c r="BG107" s="3737"/>
      <c r="BH107" s="3737"/>
    </row>
    <row customHeight="1" ht="11.25">
      <c r="A108" s="1393" t="s">
        <v>266</v>
      </c>
      <c r="B108" s="1393" t="s">
        <v>267</v>
      </c>
      <c r="C108" s="1393" t="s">
        <v>268</v>
      </c>
      <c r="D108" s="1393" t="s">
        <v>518</v>
      </c>
      <c r="E108" s="2108"/>
      <c r="F108" s="2108"/>
      <c r="G108" s="2108"/>
      <c r="H108" s="2108"/>
      <c r="I108" s="2110"/>
      <c r="J108" s="2110"/>
      <c r="K108" s="2109"/>
      <c r="L108" s="1394"/>
      <c r="P108" s="2111"/>
      <c r="Q108" s="2111"/>
      <c r="R108" s="353"/>
      <c r="S108" s="2186"/>
      <c r="T108" s="2205"/>
      <c r="U108" s="288"/>
      <c r="V108" s="1423"/>
      <c r="W108" s="1424" t="str">
        <f>Z52&amp;"-"&amp;AB52</f>
        <v>-</v>
      </c>
      <c r="X108" s="1423"/>
      <c r="Y108" s="1424" t="str">
        <f>AB52&amp;"-"&amp;AD52</f>
        <v>-да</v>
      </c>
      <c r="Z108" s="1423"/>
      <c r="AA108" s="1423"/>
      <c r="AB108" s="1423"/>
      <c r="AC108" s="1423"/>
      <c r="AD108" s="1986"/>
      <c r="AE108" s="302"/>
      <c r="AF108" s="304"/>
      <c r="AG108" s="422" t="s">
        <v>492</v>
      </c>
      <c r="AH108" s="1423"/>
      <c r="AI108" s="1423"/>
      <c r="AJ108" s="1423"/>
      <c r="AK108" s="1423"/>
      <c r="AL108" s="1423"/>
      <c r="AM108" s="1423"/>
      <c r="AN108" s="1423"/>
      <c r="AO108" s="1423"/>
      <c r="AP108" s="1423"/>
      <c r="AQ108" s="1423"/>
      <c r="AR108" s="1423"/>
      <c r="AS108" s="1423"/>
      <c r="AT108" s="1423"/>
      <c r="AU108" s="1424" t="str">
        <f>AX52&amp;"-"&amp;AZ52</f>
        <v>45292.58530092592-45657.58563657408</v>
      </c>
      <c r="AV108" s="1423"/>
      <c r="AW108" s="1424" t="str">
        <f>AZ52&amp;"-"&amp;BB52</f>
        <v>45657.58563657408-</v>
      </c>
      <c r="AX108" s="1423"/>
      <c r="AY108" s="1423"/>
      <c r="AZ108" s="1423"/>
      <c r="BA108" s="1423"/>
      <c r="BB108" s="1426" t="str">
        <f>BE52&amp;"-"&amp;BG52</f>
        <v>-</v>
      </c>
      <c r="BC108" s="2138"/>
      <c r="BE108" s="506"/>
      <c r="BF108" s="506" t="str">
        <f>IF(T108="","",T108)</f>
        <v/>
      </c>
      <c r="BG108" s="506"/>
      <c r="BH108" s="506"/>
    </row>
    <row customHeight="1" ht="11.25">
      <c r="A109" s="1393" t="s">
        <v>266</v>
      </c>
      <c r="B109" s="1393" t="s">
        <v>267</v>
      </c>
      <c r="C109" s="1393" t="s">
        <v>268</v>
      </c>
      <c r="D109" s="1393" t="s">
        <v>518</v>
      </c>
      <c r="E109" s="2108"/>
      <c r="F109" s="2108"/>
      <c r="G109" s="2108"/>
      <c r="H109" s="2108"/>
      <c r="I109" s="2110"/>
      <c r="J109" s="2109"/>
      <c r="K109" s="1393"/>
      <c r="L109" s="1394"/>
      <c r="P109" s="2111"/>
      <c r="Q109" s="2111"/>
      <c r="R109" s="352"/>
      <c r="S109" s="1308"/>
      <c r="T109" s="275" t="s">
        <v>456</v>
      </c>
      <c r="U109" s="367"/>
      <c r="V109" s="367"/>
      <c r="W109" s="367"/>
      <c r="X109" s="367"/>
      <c r="Y109" s="367"/>
      <c r="Z109" s="367"/>
      <c r="AA109" s="367"/>
      <c r="AB109" s="367"/>
      <c r="AC109" s="319"/>
      <c r="AD109" s="1535"/>
      <c r="AE109" s="367"/>
      <c r="AF109" s="367"/>
      <c r="AG109" s="367"/>
      <c r="AH109" s="367"/>
      <c r="AI109" s="367"/>
      <c r="AJ109" s="367"/>
      <c r="AK109" s="367"/>
      <c r="AL109" s="367"/>
      <c r="AM109" s="367"/>
      <c r="AN109" s="367"/>
      <c r="AO109" s="367"/>
      <c r="AP109" s="367"/>
      <c r="AQ109" s="367"/>
      <c r="AR109" s="367"/>
      <c r="AS109" s="367"/>
      <c r="AT109" s="367"/>
      <c r="AU109" s="367"/>
      <c r="AV109" s="367"/>
      <c r="AW109" s="367"/>
      <c r="AX109" s="367"/>
      <c r="AY109" s="367"/>
      <c r="AZ109" s="367"/>
      <c r="BA109" s="367"/>
      <c r="BB109" s="319"/>
      <c r="BC109" s="2139"/>
      <c r="BE109" s="506"/>
      <c r="BF109" s="506" t="str">
        <f>IF(T109="","",T109)</f>
        <v>Добавить строку</v>
      </c>
      <c r="BG109" s="506"/>
      <c r="BH109" s="506"/>
    </row>
    <row s="2612" customFormat="1" customHeight="1" ht="0">
      <c r="A110" s="1373" t="s">
        <v>266</v>
      </c>
      <c r="B110" s="1373" t="s">
        <v>267</v>
      </c>
      <c r="C110" s="1373" t="s">
        <v>268</v>
      </c>
      <c r="D110" s="1373" t="s">
        <v>518</v>
      </c>
      <c r="E110" s="2108"/>
      <c r="F110" s="2108"/>
      <c r="G110" s="2108"/>
      <c r="H110" s="2108"/>
      <c r="I110" s="2109"/>
      <c r="J110" s="1373"/>
      <c r="K110" s="1373"/>
      <c r="L110" s="1376"/>
      <c r="M110" s="516"/>
      <c r="N110" s="516"/>
      <c r="O110" s="516"/>
      <c r="P110" s="2111"/>
      <c r="Q110" s="1511"/>
      <c r="R110" s="352"/>
      <c r="S110" s="1416"/>
      <c r="T110" s="1417"/>
      <c r="U110" s="1418"/>
      <c r="V110" s="1418"/>
      <c r="W110" s="1418"/>
      <c r="X110" s="1418"/>
      <c r="Y110" s="1418"/>
      <c r="Z110" s="1418"/>
      <c r="AA110" s="1418"/>
      <c r="AB110" s="1418"/>
      <c r="AC110" s="1418"/>
      <c r="AD110" s="1418"/>
      <c r="AE110" s="1418"/>
      <c r="AF110" s="1418"/>
      <c r="AG110" s="1418"/>
      <c r="AH110" s="1418"/>
      <c r="AI110" s="1418"/>
      <c r="AJ110" s="1418"/>
      <c r="AK110" s="1418"/>
      <c r="AL110" s="1418"/>
      <c r="AM110" s="1418"/>
      <c r="AN110" s="1418"/>
      <c r="AO110" s="1418"/>
      <c r="AP110" s="1418"/>
      <c r="AQ110" s="1418"/>
      <c r="AR110" s="1418"/>
      <c r="AS110" s="1418"/>
      <c r="AT110" s="1418"/>
      <c r="AU110" s="1418"/>
      <c r="AV110" s="1418"/>
      <c r="AW110" s="1418"/>
      <c r="AX110" s="1418"/>
      <c r="AY110" s="1418"/>
      <c r="AZ110" s="1418"/>
      <c r="BA110" s="1418"/>
      <c r="BB110" s="1418"/>
      <c r="BC110" s="1419"/>
      <c r="BE110" s="506"/>
      <c r="BF110" s="506" t="str">
        <f>IF(T110="","",T110)</f>
        <v/>
      </c>
      <c r="BG110" s="506"/>
      <c r="BH110" s="506"/>
    </row>
    <row s="2612" customFormat="1" customHeight="1" ht="0">
      <c r="A111" s="1373" t="s">
        <v>266</v>
      </c>
      <c r="B111" s="1373" t="s">
        <v>267</v>
      </c>
      <c r="C111" s="1373" t="s">
        <v>268</v>
      </c>
      <c r="D111" s="1373" t="s">
        <v>518</v>
      </c>
      <c r="E111" s="2108"/>
      <c r="F111" s="2108"/>
      <c r="G111" s="2108"/>
      <c r="H111" s="2107"/>
      <c r="I111" s="1373"/>
      <c r="J111" s="1373"/>
      <c r="K111" s="1373"/>
      <c r="L111" s="1376"/>
      <c r="M111" s="1345"/>
      <c r="N111" s="1345"/>
      <c r="O111" s="524"/>
      <c r="P111" s="385"/>
      <c r="Q111" s="1374"/>
      <c r="R111" s="1431"/>
      <c r="S111" s="1416"/>
      <c r="T111" s="1417"/>
      <c r="U111" s="1418"/>
      <c r="V111" s="1418"/>
      <c r="W111" s="1418"/>
      <c r="X111" s="1418"/>
      <c r="Y111" s="1418"/>
      <c r="Z111" s="1418"/>
      <c r="AA111" s="1418"/>
      <c r="AB111" s="1418"/>
      <c r="AC111" s="1418"/>
      <c r="AD111" s="1418"/>
      <c r="AE111" s="1418"/>
      <c r="AF111" s="1418"/>
      <c r="AG111" s="1418"/>
      <c r="AH111" s="1418"/>
      <c r="AI111" s="1418"/>
      <c r="AJ111" s="1418"/>
      <c r="AK111" s="1418"/>
      <c r="AL111" s="1418"/>
      <c r="AM111" s="1418"/>
      <c r="AN111" s="1418"/>
      <c r="AO111" s="1418"/>
      <c r="AP111" s="1418"/>
      <c r="AQ111" s="1418"/>
      <c r="AR111" s="1418"/>
      <c r="AS111" s="1418"/>
      <c r="AT111" s="1418"/>
      <c r="AU111" s="1418"/>
      <c r="AV111" s="1418"/>
      <c r="AW111" s="1418"/>
      <c r="AX111" s="1418"/>
      <c r="AY111" s="1418"/>
      <c r="AZ111" s="1418"/>
      <c r="BA111" s="1418"/>
      <c r="BB111" s="1418"/>
      <c r="BC111" s="1419"/>
      <c r="BE111" s="506"/>
      <c r="BF111" s="506" t="str">
        <f>IF(T111="","",T111)</f>
        <v/>
      </c>
      <c r="BG111" s="506"/>
      <c r="BH111" s="506"/>
    </row>
    <row s="3308" customFormat="1" customHeight="1" ht="0">
      <c r="A112" s="1373" t="s">
        <v>266</v>
      </c>
      <c r="B112" s="1373" t="s">
        <v>267</v>
      </c>
      <c r="C112" s="1373" t="s">
        <v>268</v>
      </c>
      <c r="D112" s="1344"/>
      <c r="E112" s="2108"/>
      <c r="F112" s="2108"/>
      <c r="G112" s="2107"/>
      <c r="H112" s="1344"/>
      <c r="I112" s="1344"/>
      <c r="J112" s="1344"/>
      <c r="K112" s="1344"/>
      <c r="L112" s="1524"/>
      <c r="M112" s="1345"/>
      <c r="N112" s="1345"/>
      <c r="P112" s="1346"/>
      <c r="Q112" s="1347"/>
      <c r="R112" s="1346"/>
      <c r="S112" s="1352"/>
      <c r="T112" s="1355"/>
      <c r="U112" s="1354"/>
      <c r="V112" s="1354"/>
      <c r="W112" s="1354"/>
      <c r="X112" s="1354"/>
      <c r="Y112" s="1354"/>
      <c r="Z112" s="1354"/>
      <c r="AA112" s="1354"/>
      <c r="AB112" s="1354"/>
      <c r="AC112" s="1354"/>
      <c r="AD112" s="1354"/>
      <c r="AE112" s="1354"/>
      <c r="AF112" s="1354"/>
      <c r="AG112" s="1354"/>
      <c r="AH112" s="1354"/>
      <c r="AI112" s="1354"/>
      <c r="AJ112" s="1354"/>
      <c r="AK112" s="1354"/>
      <c r="AL112" s="1354"/>
      <c r="AM112" s="1354"/>
      <c r="AN112" s="1354"/>
      <c r="AO112" s="1354"/>
      <c r="AP112" s="1354"/>
      <c r="AQ112" s="1354"/>
      <c r="AR112" s="1354"/>
      <c r="AS112" s="1354"/>
      <c r="AT112" s="1354"/>
      <c r="AU112" s="1354"/>
      <c r="AV112" s="1354"/>
      <c r="AW112" s="1354"/>
      <c r="AX112" s="1354"/>
      <c r="AY112" s="1354"/>
      <c r="AZ112" s="1354"/>
      <c r="BA112" s="1354"/>
      <c r="BB112" s="1354"/>
      <c r="BC112" s="1354"/>
      <c r="BE112" s="795"/>
      <c r="BF112" s="795" t="str">
        <f>IF(T112="","",T112)</f>
        <v/>
      </c>
      <c r="BG112" s="795"/>
      <c r="BH112" s="795"/>
    </row>
    <row s="3308" customFormat="1" customHeight="1" ht="0">
      <c r="A113" s="1373" t="s">
        <v>266</v>
      </c>
      <c r="B113" s="1373" t="s">
        <v>267</v>
      </c>
      <c r="C113" s="1344"/>
      <c r="D113" s="1344"/>
      <c r="E113" s="2108"/>
      <c r="F113" s="2107"/>
      <c r="G113" s="1344"/>
      <c r="H113" s="1344"/>
      <c r="I113" s="1344"/>
      <c r="J113" s="1344"/>
      <c r="K113" s="1344"/>
      <c r="L113" s="1524"/>
      <c r="M113" s="1351"/>
      <c r="N113" s="1351"/>
      <c r="P113" s="1346"/>
      <c r="Q113" s="1347"/>
      <c r="R113" s="1346"/>
      <c r="S113" s="1352"/>
      <c r="T113" s="1355" t="s">
        <v>254</v>
      </c>
      <c r="U113" s="1354"/>
      <c r="V113" s="1354"/>
      <c r="W113" s="1354"/>
      <c r="X113" s="1354"/>
      <c r="Y113" s="1354"/>
      <c r="Z113" s="1354"/>
      <c r="AA113" s="1354"/>
      <c r="AB113" s="1354"/>
      <c r="AC113" s="1354"/>
      <c r="AD113" s="1354"/>
      <c r="AE113" s="1354"/>
      <c r="AF113" s="1354"/>
      <c r="AG113" s="1354"/>
      <c r="AH113" s="1354"/>
      <c r="AI113" s="1354"/>
      <c r="AJ113" s="1354"/>
      <c r="AK113" s="1354"/>
      <c r="AL113" s="1354"/>
      <c r="AM113" s="1354"/>
      <c r="AN113" s="1354"/>
      <c r="AO113" s="1354"/>
      <c r="AP113" s="1354"/>
      <c r="AQ113" s="1354"/>
      <c r="AR113" s="1354"/>
      <c r="AS113" s="1354"/>
      <c r="AT113" s="1354"/>
      <c r="AU113" s="1354"/>
      <c r="AV113" s="1354"/>
      <c r="AW113" s="1354"/>
      <c r="AX113" s="1354"/>
      <c r="AY113" s="1354"/>
      <c r="AZ113" s="1354"/>
      <c r="BA113" s="1354"/>
      <c r="BB113" s="1354"/>
      <c r="BC113" s="1354"/>
      <c r="BE113" s="795"/>
      <c r="BF113" s="795" t="str">
        <f>IF(T113="","",T113)</f>
        <v>Добавить централизованную систему для дифференциации</v>
      </c>
      <c r="BG113" s="795"/>
      <c r="BH113" s="795"/>
    </row>
    <row s="2612" customFormat="1" customHeight="1" ht="0">
      <c r="A114" s="1373" t="s">
        <v>266</v>
      </c>
      <c r="B114" s="1373"/>
      <c r="C114" s="1373"/>
      <c r="D114" s="1373"/>
      <c r="E114" s="2107"/>
      <c r="F114" s="1373"/>
      <c r="G114" s="1373"/>
      <c r="H114" s="1373"/>
      <c r="I114" s="1373"/>
      <c r="J114" s="1373"/>
      <c r="K114" s="1373"/>
      <c r="L114" s="1376"/>
      <c r="M114" s="1351"/>
      <c r="N114" s="1351"/>
      <c r="O114" s="524"/>
      <c r="P114" s="385"/>
      <c r="Q114" s="1374"/>
      <c r="R114" s="385"/>
      <c r="S114" s="1352"/>
      <c r="T114" s="1355" t="s">
        <v>255</v>
      </c>
      <c r="U114" s="1354"/>
      <c r="V114" s="1354"/>
      <c r="W114" s="1354"/>
      <c r="X114" s="1354"/>
      <c r="Y114" s="1354"/>
      <c r="Z114" s="1354"/>
      <c r="AA114" s="1354"/>
      <c r="AB114" s="1354"/>
      <c r="AC114" s="1354"/>
      <c r="AD114" s="1354"/>
      <c r="AE114" s="1354"/>
      <c r="AF114" s="1354"/>
      <c r="AG114" s="1354"/>
      <c r="AH114" s="1354"/>
      <c r="AI114" s="1354"/>
      <c r="AJ114" s="1354"/>
      <c r="AK114" s="1354"/>
      <c r="AL114" s="1354"/>
      <c r="AM114" s="1354"/>
      <c r="AN114" s="1354"/>
      <c r="AO114" s="1354"/>
      <c r="AP114" s="1354"/>
      <c r="AQ114" s="1354"/>
      <c r="AR114" s="1354"/>
      <c r="AS114" s="1354"/>
      <c r="AT114" s="1354"/>
      <c r="AU114" s="1354"/>
      <c r="AV114" s="1354"/>
      <c r="AW114" s="1354"/>
      <c r="AX114" s="1354"/>
      <c r="AY114" s="1354"/>
      <c r="AZ114" s="1354"/>
      <c r="BA114" s="1354"/>
      <c r="BB114" s="1354"/>
      <c r="BC114" s="1354"/>
      <c r="BE114" s="506"/>
      <c r="BF114" s="506" t="str">
        <f>IF(T114="","",T114)</f>
        <v>Добавить территорию для дифференциации</v>
      </c>
      <c r="BG114" s="506"/>
      <c r="BH114" s="506"/>
    </row>
    <row s="3308" customFormat="1" customHeight="1" ht="0">
      <c r="A115" s="1344"/>
      <c r="B115" s="1344"/>
      <c r="C115" s="1344"/>
      <c r="D115" s="1344"/>
      <c r="E115" s="1373"/>
      <c r="F115" s="1344"/>
      <c r="G115" s="1344"/>
      <c r="H115" s="1344"/>
      <c r="I115" s="1344"/>
      <c r="J115" s="1344"/>
      <c r="K115" s="1344"/>
      <c r="L115" s="1524"/>
      <c r="M115" s="1351"/>
      <c r="N115" s="1351"/>
      <c r="P115" s="1346"/>
      <c r="Q115" s="1347"/>
      <c r="R115" s="1346"/>
      <c r="S115" s="1352"/>
      <c r="T115" s="1355" t="s">
        <v>256</v>
      </c>
      <c r="U115" s="1354"/>
      <c r="V115" s="1354"/>
      <c r="W115" s="1354"/>
      <c r="X115" s="1354"/>
      <c r="Y115" s="1354"/>
      <c r="Z115" s="1354"/>
      <c r="AA115" s="1354"/>
      <c r="AB115" s="1354"/>
      <c r="AC115" s="1354"/>
      <c r="AD115" s="1354"/>
      <c r="AE115" s="1354"/>
      <c r="AF115" s="1354"/>
      <c r="AG115" s="1354"/>
      <c r="AH115" s="1354"/>
      <c r="AI115" s="1354"/>
      <c r="AJ115" s="1354"/>
      <c r="AK115" s="1354"/>
      <c r="AL115" s="1354"/>
      <c r="AM115" s="1354"/>
      <c r="AN115" s="1354"/>
      <c r="AO115" s="1354"/>
      <c r="AP115" s="1354"/>
      <c r="AQ115" s="1354"/>
      <c r="AR115" s="1354"/>
      <c r="AS115" s="1354"/>
      <c r="AT115" s="1354"/>
      <c r="AU115" s="1354"/>
      <c r="AV115" s="1354"/>
      <c r="AW115" s="1354"/>
      <c r="AX115" s="1354"/>
      <c r="AY115" s="1354"/>
      <c r="AZ115" s="1354"/>
      <c r="BA115" s="1354"/>
      <c r="BB115" s="1354"/>
      <c r="BC115" s="1354"/>
      <c r="BE115" s="795"/>
      <c r="BF115" s="795" t="str">
        <f>IF(T115="","",T115)</f>
        <v>Добавить наименование тарифа</v>
      </c>
      <c r="BG115" s="795"/>
      <c r="BH115" s="795"/>
    </row>
    <row customHeight="1" ht="11.25">
      <c r="M116" s="1168"/>
      <c r="N116" s="1168"/>
      <c r="O116" s="543"/>
      <c r="P116" s="1168"/>
      <c r="Q116" s="1168"/>
      <c r="R116" s="1163"/>
      <c r="S116" s="1163"/>
      <c r="BD116" s="1163"/>
      <c r="BE116" s="1163"/>
      <c r="BF116" s="1163"/>
      <c r="BG116" s="1163"/>
      <c r="BH116" s="1163"/>
    </row>
    <row customHeight="1" ht="14.25">
      <c r="O117" s="543"/>
      <c r="S117" s="1273"/>
      <c r="T117" s="2106"/>
      <c r="U117" s="2106"/>
      <c r="V117" s="2106"/>
      <c r="W117" s="2106"/>
      <c r="X117" s="2106"/>
      <c r="Y117" s="2106"/>
      <c r="Z117" s="2106"/>
      <c r="AA117" s="2106"/>
      <c r="AB117" s="2106"/>
      <c r="AC117" s="2106"/>
      <c r="AD117" s="2106"/>
      <c r="AE117" s="2106"/>
      <c r="AF117" s="2106"/>
      <c r="AG117" s="2106"/>
      <c r="AH117" s="2106"/>
      <c r="AI117" s="2106"/>
      <c r="AJ117" s="2106"/>
      <c r="AK117" s="2106"/>
      <c r="AL117" s="2106"/>
      <c r="AM117" s="2106"/>
      <c r="AN117" s="2106"/>
      <c r="AO117" s="2106"/>
      <c r="AP117" s="2106"/>
      <c r="AQ117" s="2106"/>
      <c r="AR117" s="2106"/>
      <c r="AS117" s="2106"/>
      <c r="AT117" s="2106"/>
      <c r="AU117" s="2106"/>
      <c r="AV117" s="2106"/>
      <c r="AW117" s="2106"/>
      <c r="AX117" s="2106"/>
      <c r="AY117" s="2106"/>
      <c r="AZ117" s="2106"/>
      <c r="BA117" s="2106"/>
      <c r="BB117" s="2106"/>
      <c r="BC117" s="2106"/>
    </row>
    <row customHeight="1" ht="14.25">
      <c r="O118" s="543"/>
      <c r="T118" s="1510"/>
      <c r="U118" s="1510"/>
      <c r="V118" s="1510"/>
      <c r="W118" s="1510"/>
      <c r="X118" s="1510"/>
      <c r="Y118" s="1510"/>
      <c r="Z118" s="1510"/>
      <c r="AA118" s="1510"/>
      <c r="AB118" s="1510"/>
      <c r="AC118" s="1510"/>
      <c r="AD118" s="1510"/>
      <c r="AE118" s="1510"/>
      <c r="AF118" s="1510"/>
      <c r="AG118" s="1510"/>
      <c r="AH118" s="1510"/>
      <c r="AI118" s="1510"/>
      <c r="AJ118" s="1510"/>
      <c r="AK118" s="1510"/>
      <c r="AL118" s="1510"/>
      <c r="AM118" s="1510"/>
      <c r="AN118" s="1510"/>
      <c r="AO118" s="1510"/>
      <c r="AP118" s="1510"/>
      <c r="AQ118" s="1510"/>
      <c r="AR118" s="1510"/>
      <c r="AS118" s="1510"/>
      <c r="AT118" s="1510"/>
      <c r="AU118" s="1510"/>
      <c r="AV118" s="1510"/>
      <c r="AW118" s="1510"/>
      <c r="AX118" s="1510"/>
      <c r="AY118" s="1510"/>
      <c r="AZ118" s="1510"/>
      <c r="BA118" s="1510"/>
      <c r="BB118" s="1510"/>
      <c r="BC118" s="1510"/>
    </row>
    <row customHeight="1" ht="14.25">
      <c r="O119" s="543"/>
      <c r="S119" s="1273"/>
      <c r="T119" s="2106"/>
      <c r="U119" s="2106"/>
      <c r="V119" s="2106"/>
      <c r="W119" s="2106"/>
      <c r="X119" s="2106"/>
      <c r="Y119" s="2106"/>
      <c r="Z119" s="2106"/>
      <c r="AA119" s="2106"/>
      <c r="AB119" s="2106"/>
      <c r="AC119" s="2106"/>
      <c r="AD119" s="2106"/>
      <c r="AE119" s="2106"/>
      <c r="AF119" s="2106"/>
      <c r="AG119" s="2106"/>
      <c r="AH119" s="2106"/>
      <c r="AI119" s="2106"/>
      <c r="AJ119" s="2106"/>
      <c r="AK119" s="2106"/>
      <c r="AL119" s="2106"/>
      <c r="AM119" s="2106"/>
      <c r="AN119" s="2106"/>
      <c r="AO119" s="2106"/>
      <c r="AP119" s="2106"/>
      <c r="AQ119" s="2106"/>
      <c r="AR119" s="2106"/>
      <c r="AS119" s="2106"/>
      <c r="AT119" s="2106"/>
      <c r="AU119" s="2106"/>
      <c r="AV119" s="2106"/>
      <c r="AW119" s="2106"/>
      <c r="AX119" s="2106"/>
      <c r="AY119" s="2106"/>
      <c r="AZ119" s="2106"/>
      <c r="BA119" s="2106"/>
      <c r="BB119" s="2106"/>
      <c r="BC119" s="2106"/>
    </row>
    <row customHeight="1" ht="14.25">
      <c r="O120" s="543"/>
    </row>
  </sheetData>
  <sheetProtection formatColumns="0" formatRows="0" autoFilter="0" sort="0" insertRows="0" insertColumns="1" deleteRows="0" deleteColumns="0"/>
  <mergeCells count="27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114"/>
    <mergeCell ref="V46:AC46"/>
    <mergeCell ref="AD46:BB46"/>
    <mergeCell ref="F47:F113"/>
    <mergeCell ref="V47:AC47"/>
    <mergeCell ref="AL41:AO44"/>
    <mergeCell ref="AP41:AS44"/>
    <mergeCell ref="AT41:AZ41"/>
    <mergeCell ref="BA41:BA44"/>
    <mergeCell ref="BB41:BB44"/>
    <mergeCell ref="V42:W43"/>
    <mergeCell ref="X42:Y43"/>
    <mergeCell ref="Z42:AB43"/>
    <mergeCell ref="AT42:AU43"/>
    <mergeCell ref="AV42:AW43"/>
    <mergeCell ref="AD47:BB47"/>
    <mergeCell ref="G48:G112"/>
    <mergeCell ref="V48:AC48"/>
    <mergeCell ref="AD48:BB48"/>
    <mergeCell ref="H49:H111"/>
    <mergeCell ref="V49:AC49"/>
    <mergeCell ref="AD49:BB49"/>
    <mergeCell ref="I50:I110"/>
    <mergeCell ref="P50:P110"/>
    <mergeCell ref="V50:AC50"/>
    <mergeCell ref="AD50:BB50"/>
    <mergeCell ref="J51:J109"/>
    <mergeCell ref="Q51:Q109"/>
    <mergeCell ref="V51:AC51"/>
    <mergeCell ref="AD51:BB51"/>
    <mergeCell ref="K52:K108"/>
    <mergeCell ref="S52:S108"/>
    <mergeCell ref="T52:T108"/>
    <mergeCell ref="AD52:AD108"/>
    <mergeCell ref="AE52:AE58"/>
    <mergeCell ref="T117:BC117"/>
    <mergeCell ref="T119:BC119"/>
    <mergeCell ref="AL52:AL54"/>
    <mergeCell ref="AM52:AM53"/>
    <mergeCell ref="AN52:AN53"/>
    <mergeCell ref="AO52:AO53"/>
    <mergeCell ref="AP52:AP53"/>
    <mergeCell ref="BC52:BC109"/>
    <mergeCell ref="AF52:AF58"/>
    <mergeCell ref="AG52:AG58"/>
    <mergeCell ref="AH52:AH58"/>
    <mergeCell ref="AI52:AI54"/>
    <mergeCell ref="AJ52:AJ54"/>
    <mergeCell ref="AK52:AK54"/>
    <mergeCell ref="R59:R108"/>
    <mergeCell ref="AE59:AE65"/>
    <mergeCell ref="AF59:AF65"/>
    <mergeCell ref="AG59:AG65"/>
    <mergeCell ref="AH59:AH65"/>
    <mergeCell ref="AI59:AI61"/>
    <mergeCell ref="AJ59:AJ61"/>
    <mergeCell ref="AK59:AK61"/>
    <mergeCell ref="AL59:AL61"/>
    <mergeCell ref="AM59:AM60"/>
    <mergeCell ref="AN59:AN60"/>
    <mergeCell ref="AO59:AO60"/>
    <mergeCell ref="AP59:AP60"/>
    <mergeCell ref="AE66:AE72"/>
    <mergeCell ref="AF66:AF72"/>
    <mergeCell ref="AG66:AG72"/>
    <mergeCell ref="AH66:AH72"/>
    <mergeCell ref="AI66:AI68"/>
    <mergeCell ref="AJ66:AJ68"/>
    <mergeCell ref="AK66:AK68"/>
    <mergeCell ref="AL66:AL68"/>
    <mergeCell ref="AM66:AM67"/>
    <mergeCell ref="AN66:AN67"/>
    <mergeCell ref="AO66:AO67"/>
    <mergeCell ref="AP66:AP67"/>
    <mergeCell ref="AE73:AE79"/>
    <mergeCell ref="AF73:AF79"/>
    <mergeCell ref="AG73:AG79"/>
    <mergeCell ref="AH73:AH79"/>
    <mergeCell ref="AI73:AI75"/>
    <mergeCell ref="AJ73:AJ75"/>
    <mergeCell ref="AK73:AK75"/>
    <mergeCell ref="AL73:AL75"/>
    <mergeCell ref="AM73:AM74"/>
    <mergeCell ref="AN73:AN74"/>
    <mergeCell ref="AO73:AO74"/>
    <mergeCell ref="AP73:AP74"/>
    <mergeCell ref="AE80:AE86"/>
    <mergeCell ref="AF80:AF86"/>
    <mergeCell ref="AG80:AG86"/>
    <mergeCell ref="AH80:AH86"/>
    <mergeCell ref="AI80:AI82"/>
    <mergeCell ref="AJ80:AJ82"/>
    <mergeCell ref="AK80:AK82"/>
    <mergeCell ref="AL80:AL82"/>
    <mergeCell ref="AM80:AM81"/>
    <mergeCell ref="AN80:AN81"/>
    <mergeCell ref="AO80:AO81"/>
    <mergeCell ref="AP80:AP81"/>
    <mergeCell ref="AE87:AE93"/>
    <mergeCell ref="AF87:AF93"/>
    <mergeCell ref="AG87:AG93"/>
    <mergeCell ref="AH87:AH93"/>
    <mergeCell ref="AI87:AI89"/>
    <mergeCell ref="AJ87:AJ89"/>
    <mergeCell ref="AK87:AK89"/>
    <mergeCell ref="AL87:AL89"/>
    <mergeCell ref="AM87:AM88"/>
    <mergeCell ref="AN87:AN88"/>
    <mergeCell ref="AO87:AO88"/>
    <mergeCell ref="AP87:AP88"/>
    <mergeCell ref="AE94:AE100"/>
    <mergeCell ref="AF94:AF100"/>
    <mergeCell ref="AG94:AG100"/>
    <mergeCell ref="AH94:AH100"/>
    <mergeCell ref="AI94:AI96"/>
    <mergeCell ref="AJ94:AJ96"/>
    <mergeCell ref="AK94:AK96"/>
    <mergeCell ref="AL94:AL96"/>
    <mergeCell ref="AM94:AM95"/>
    <mergeCell ref="AN94:AN95"/>
    <mergeCell ref="AO94:AO95"/>
    <mergeCell ref="AP94:AP95"/>
    <mergeCell ref="AE101:AE107"/>
    <mergeCell ref="AF101:AF107"/>
    <mergeCell ref="AG101:AG107"/>
    <mergeCell ref="AH101:AH107"/>
    <mergeCell ref="AI101:AI103"/>
    <mergeCell ref="AJ101:AJ103"/>
    <mergeCell ref="AK101:AK103"/>
    <mergeCell ref="AL101:AL103"/>
    <mergeCell ref="AM101:AM102"/>
    <mergeCell ref="AN101:AN102"/>
    <mergeCell ref="AO101:AO102"/>
    <mergeCell ref="AP101:AP102"/>
    <mergeCell ref="AI55:AI57"/>
    <mergeCell ref="AJ55:AJ57"/>
    <mergeCell ref="AK55:AK57"/>
    <mergeCell ref="AL55:AL57"/>
    <mergeCell ref="AM55:AM56"/>
    <mergeCell ref="AN55:AN56"/>
    <mergeCell ref="AO55:AO56"/>
    <mergeCell ref="AP55:AP56"/>
    <mergeCell ref="AI62:AI64"/>
    <mergeCell ref="AJ62:AJ64"/>
    <mergeCell ref="AK62:AK64"/>
    <mergeCell ref="AL62:AL64"/>
    <mergeCell ref="AM62:AM63"/>
    <mergeCell ref="AN62:AN63"/>
    <mergeCell ref="AO62:AO63"/>
    <mergeCell ref="AP62:AP63"/>
    <mergeCell ref="AI69:AI71"/>
    <mergeCell ref="AJ69:AJ71"/>
    <mergeCell ref="AK69:AK71"/>
    <mergeCell ref="AL69:AL71"/>
    <mergeCell ref="AM69:AM70"/>
    <mergeCell ref="AN69:AN70"/>
    <mergeCell ref="AO69:AO70"/>
    <mergeCell ref="AP69:AP70"/>
    <mergeCell ref="AI76:AI78"/>
    <mergeCell ref="AJ76:AJ78"/>
    <mergeCell ref="AK76:AK78"/>
    <mergeCell ref="AL76:AL78"/>
    <mergeCell ref="AM76:AM77"/>
    <mergeCell ref="AN76:AN77"/>
    <mergeCell ref="AO76:AO77"/>
    <mergeCell ref="AP76:AP77"/>
    <mergeCell ref="AI83:AI85"/>
    <mergeCell ref="AJ83:AJ85"/>
    <mergeCell ref="AK83:AK85"/>
    <mergeCell ref="AL83:AL85"/>
    <mergeCell ref="AM83:AM84"/>
    <mergeCell ref="AN83:AN84"/>
    <mergeCell ref="AO83:AO84"/>
    <mergeCell ref="AP83:AP84"/>
    <mergeCell ref="AI90:AI92"/>
    <mergeCell ref="AJ90:AJ92"/>
    <mergeCell ref="AK90:AK92"/>
    <mergeCell ref="AL90:AL92"/>
    <mergeCell ref="AM90:AM91"/>
    <mergeCell ref="AN90:AN91"/>
    <mergeCell ref="AO90:AO91"/>
    <mergeCell ref="AP90:AP91"/>
    <mergeCell ref="AI97:AI99"/>
    <mergeCell ref="AJ97:AJ99"/>
    <mergeCell ref="AK97:AK99"/>
    <mergeCell ref="AL97:AL99"/>
    <mergeCell ref="AM97:AM98"/>
    <mergeCell ref="AN97:AN98"/>
    <mergeCell ref="AO97:AO98"/>
    <mergeCell ref="AP97:AP98"/>
    <mergeCell ref="AI104:AI106"/>
    <mergeCell ref="AJ104:AJ106"/>
    <mergeCell ref="AK104:AK106"/>
    <mergeCell ref="AL104:AL106"/>
    <mergeCell ref="AM104:AM105"/>
    <mergeCell ref="AN104:AN105"/>
    <mergeCell ref="AO104:AO105"/>
    <mergeCell ref="AP104:AP105"/>
  </mergeCells>
  <dataValidations count="9">
    <dataValidation allowBlank="1" sqref="S65643:BC65649 S983147:BC983153 S917611:BC917617 S852075:BC852081 S786539:BC786545 S721003:BC721009 S655467:BC655473 S589931:BC589937 S524395:BC524401 S458859:BC458865 S393323:BC393329 S327787:BC327793 S262251:BC262257 S196715:BC196721 S131179:BC131185"/>
    <dataValidation type="list" allowBlank="1" showInputMessage="1" errorTitle="Ошибка" error="Выберите значение из списка" prompt="Выберите значение из списка" sqref="V983144:BB983144 V917608:BB917608 V852072:BB852072 V786536:BB786536 V721000:BB721000 V655464:BB655464 V589928:BB589928 V524392:BB524392 V458856:BB458856 V393320:BB393320 V327784:BB327784 V262248:BB262248 V196712:BB196712 V131176:BB131176 V65640:BB65640">
      <formula1>kind_of_cons</formula1>
    </dataValidation>
    <dataValidation type="decimal" allowBlank="1" showErrorMessage="1" errorTitle="Ошибка" error="Допускается ввод только действительных чисел!" sqref="AO52:AO53 AG8:AG11 AO8:AO9 AG52:AG107 AO59 AO60 AO66 AO67 AO73 AO74 AO80 AO81 AO87 AO88 AO94 AO95 AO101 AO102 AO55 AO56 AO62 AO63 AO69 AO70 AO76 AO77 AO83 AO84 AO90 AO91 AO97 AO98 AO104 AO10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41 AA131177 AA196713 AA262249 AA327785 AA393321 AA458857 AA524393 AA589929 AA655465 AA721001 AA786537 AA852073 AA917609 AA983145 AC131177 AC458857 AC196713 AC262249 AC327785 AC393321 AC524393 AC589929 AC655465 AC721001 AC786537 AC852073 AC917609 AC983145 AC65641 AH52:AH53 AY8 AP52 AK52:AL53 AA8 AY65641 AY131177 AY196713 AY262249 AY327785 AY393321 AY458857 AY524393 AY589929 AY655465 AY721001 AY786537 AY852073 AY917609 AY983145 BA458857 BA196713 BA262249 BA327785 BA393321 BA524393 BA589929 BA655465 BA721001 BA786537 BA852073 BA917609 BA983145 BA65641 BA52 AC8:AD8 BA20 BA8 AY52 AK8:AL9 AD20 AG20:AH20 AK20:AL20 AP20 AY20 AH8:AH9 AP8 BA131177 AC52:AD52 AA52 AA59 AC59 AD59 AH59 AK59 AL59 AP59 AY59 BA59 AH60 AK60 AL60 AA66 AC66 AD66 AH66 AK66 AL66 AP66 AY66 BA66 AH67 AK67 AL67 AA73 AC73 AD73 AH73 AK73 AL73 AP73 AY73 BA73 AH74 AK74 AL74 AA80 AC80 AD80 AH80 AK80 AL80 AP80 AY80 BA80 AH81 AK81 AL81 AA87 AC87 AD87 AH87 AK87 AL87 AP87 AY87 BA87 AH88 AK88 AL88 AA94 AC94 AD94 AH94 AK94 AL94 AP94 AY94 BA94 AH95 AK95 AL95 AA101 AC101 AD101 AH101 AK101 AL101 AP101 AY101 BA101 AH102 AK102 AL102 AA55 AC55 AD55 AH55 AK55 AL55 AP55 AY55 BA55 AH56 AK56 AL56 AA62 AC62 AD62 AH62 AK62 AL62 AP62 AY62 BA62 AH63 AK63 AL63 AA69 AC69 AD69 AH69 AK69 AL69 AP69 AY69 BA69 AH70 AK70 AL70 AA76 AC76 AD76 AH76 AK76 AL76 AP76 AY76 BA76 AH77 AK77 AL77 AA83 AC83 AD83 AH83 AK83 AL83 AP83 AY83 BA83 AH84 AK84 AL84 AA90 AC90 AD90 AH90 AK90 AL90 AP90 AY90 BA90 AH91 AK91 AL91 AA97 AC97 AD97 AH97 AK97 AL97 AP97 AY97 BA97 AH98 AK98 AL98 AA104 AC104 AD104 AH104 AK104 AL104 AP104 AY104 BA104 AH105 AK105 AL105"/>
    <dataValidation type="textLength" operator="lessThanOrEqual" allowBlank="1" showInputMessage="1" showErrorMessage="1" errorTitle="Ошибка" error="Допускается ввод не более 900 символов!" sqref="BC65635:BC65642 BC131171:BC131178 BC196707:BC196714 BC262243:BC262250 BC327779:BC327786 BC393315:BC393322 BC458851:BC458858 BC524387:BC524394 BC589923:BC589930 BC655459:BC655466 BC720995:BC721002 BC786531:BC786538 BC852067:BC852074 BC917603:BC917610 BC983139:BC983146 AS8 T8:T12 AS52 T52:T108 AS59 AS66 AS73 AS80 AS87 AS94 AS101 AS55 AS62 AS69 AS76 AS83 AS90 AS97 AS104">
      <formula1>900</formula1>
    </dataValidation>
    <dataValidation allowBlank="1" promptTitle="checkPeriodRange" sqref="W131178 W196714 W262250 W327786 W393322 W458858 W524394 W589930 W655466 W721002 W786538 W852074 W917610 W983146 AW108 AU12 BB12 AW65642 AW131178 AW196714 AW262250 AW327786 AW393322 AW458858 AW524394 AW589930 AW655466 AW721002 AW786538 AW852074 AW917610 AW983146 Y65642 Y108 W65642 Y131178 Y196714 Y262250 Y327786 Y393322 Y458858 Y524394 Y589930 Y655466 Y721002 Y786538 Y852074 Y917610 Y983146 AU108 Y12 BB108 W12 AW12 W10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1 Z131177 Z196713 Z262249 Z327785 Z393321 Z458857 Z524393 Z589929 Z655465 Z721001 Z786537 Z852073 Z917609 Z983145 AB65641 AB131177 AB196713 AB262249 AB327785 AB393321 AB458857 AB524393 AB589929 AB655465 AB721001 AB786537 AB852073 AB917609 AB983145 Z8 AB8 AX65641 AX131177 AX196713 AX262249 AX327785 AX393321 AX458857 AX524393 AX589929 AX655465 AX721001 AX786537 AX852073 AX917609 AX983145 AZ65641 AZ131177 AZ196713 AZ262249 AZ327785 AZ393321 AZ458857 AZ524393 AZ589929 AZ655465 AZ721001 AZ786537 AZ852073 AZ917609 AZ983145 AX52 AX20 AZ8 AZ52 AX8 AZ20 Z52 AB52 Z59 AB59 AX59 AZ59 Z66 AB66 AX66 AZ66 Z73 AB73 AX73 AZ73 Z80 AB80 AX80 AZ80 Z87 AB87 AX87 AZ87 Z94 AB94 AX94 AZ94 Z101 AB101 AX101 AZ101 Z55 AB55 AX55 AZ55 Z62 AB62 AX62 AZ62 Z69 AB69 AX69 AZ69 Z76 AB76 AX76 AZ76 Z83 AB83 AX83 AZ83 Z90 AB90 AX90 AZ90 Z97 AB97 AX97 AZ97 Z104 AB104 AX104 AZ104"/>
    <dataValidation type="list" allowBlank="1" showInputMessage="1" showErrorMessage="1" errorTitle="Ошибка" error="Выберите значение из списка" sqref="AD917607:AS917607 AD983143:AS983143 AD65639:AS65639 AD131175:AS131175 AD196711:AS196711 AD262247:AS262247 AD327783:AS327783 AD393319:AS393319 AD458855:AS458855 AD524391:AS524391 AD589927:AS589927 AD655463:AS655463 AD720999:AS720999 AD786535:AS786535 AD852071:AS852071">
      <formula1>kind_of_scheme_in</formula1>
    </dataValidation>
    <dataValidation type="list" allowBlank="1" showInputMessage="1" showErrorMessage="1" errorTitle="Ошибка" error="Выберите значение из списка" sqref="T65641 T131177 T196713 T262249 T327785 T393321 T458857 T524393 T589929 T655465 T721001 T786537 T852073 T917609 T983145">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6B462-5E4E-5A46-F6EE-A46C118CC5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4.140625" hidden="1" customWidth="1"/>
    <col min="10" max="10" style="3327" width="9.8515625" hidden="1" customWidth="1"/>
    <col min="11" max="11" style="3327" width="14.7109375" hidden="1" customWidth="1"/>
    <col min="12" max="12" style="3653" width="19.140625" hidden="1" customWidth="1"/>
    <col min="13" max="14" style="3329" width="12.28125" hidden="1" customWidth="1"/>
    <col min="15" max="15" style="3329" width="23.421875" hidden="1" customWidth="1"/>
    <col min="16" max="16" style="3707" width="3.7109375" customWidth="1"/>
    <col min="17" max="18" style="3406" width="3.7109375" customWidth="1"/>
    <col min="19" max="19" style="3407"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7"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27" customFormat="1" customHeight="1" ht="14.25" hidden="1">
      <c r="L19" s="1508"/>
      <c r="M19" s="1392"/>
      <c r="N19" s="1392"/>
      <c r="O19" s="1392"/>
      <c r="P19" s="1392"/>
      <c r="Q19" s="1401"/>
      <c r="R19" s="1401"/>
      <c r="S19" s="735"/>
      <c r="AB19" s="1396"/>
      <c r="AI19" s="1396"/>
      <c r="AL19" s="517"/>
      <c r="AM19" s="517"/>
      <c r="AN19" s="517"/>
      <c r="AO19" s="517"/>
      <c r="AP19" s="517"/>
    </row>
    <row s="3327"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0"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45275.50763888889</v>
      </c>
      <c r="W28" s="2099"/>
      <c r="X28" s="2099"/>
      <c r="Y28" s="2099"/>
      <c r="Z28" s="2099"/>
      <c r="AA28" s="2099"/>
      <c r="AB28" s="322"/>
      <c r="AC28" s="2099" t="str">
        <f>IF(TITLE_DATE_PR_CHANGE="",IF(TITLE_DATE_PR="","",TITLE_DATE_PR),TITLE_DATE_PR_CHANGE)</f>
        <v>45275.50763888889</v>
      </c>
      <c r="AD28" s="2099"/>
      <c r="AE28" s="2099"/>
      <c r="AF28" s="2099"/>
      <c r="AG28" s="2099"/>
      <c r="AH28" s="2099"/>
      <c r="AI28" s="322"/>
      <c r="AJ28" s="322"/>
      <c r="AK28" s="268"/>
      <c r="AL28" s="368"/>
      <c r="AM28" s="368"/>
      <c r="AN28" s="368"/>
      <c r="AO28" s="368"/>
      <c r="AP28" s="368"/>
    </row>
    <row s="3340"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45275.50763888889</v>
      </c>
      <c r="W32" s="2099"/>
      <c r="X32" s="2099"/>
      <c r="Y32" s="2099"/>
      <c r="Z32" s="2099"/>
      <c r="AA32" s="2099"/>
      <c r="AB32" s="322"/>
      <c r="AC32" s="2099" t="str">
        <f>IF(TITLE_DATE_PR_CHANGE="",IF(TITLE_DATE_PR="","",TITLE_DATE_PR),TITLE_DATE_PR_CHANGE)</f>
        <v>45275.50763888889</v>
      </c>
      <c r="AD32" s="2099"/>
      <c r="AE32" s="2099"/>
      <c r="AF32" s="2099"/>
      <c r="AG32" s="2099"/>
      <c r="AH32" s="2099"/>
      <c r="AI32" s="322"/>
      <c r="AJ32" s="322"/>
      <c r="AK32" s="268"/>
      <c r="AL32" s="368"/>
      <c r="AM32" s="368"/>
      <c r="AN32" s="368"/>
      <c r="AO32" s="368"/>
      <c r="AP32" s="368"/>
    </row>
    <row s="3340"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531</v>
      </c>
      <c r="W38" s="2118" t="s">
        <v>532</v>
      </c>
      <c r="X38" s="2120"/>
      <c r="Y38" s="2118" t="s">
        <v>426</v>
      </c>
      <c r="Z38" s="2119"/>
      <c r="AA38" s="2120"/>
      <c r="AB38" s="2130"/>
      <c r="AC38" s="1513" t="s">
        <v>531</v>
      </c>
      <c r="AD38" s="2118" t="s">
        <v>532</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479</v>
      </c>
      <c r="J39" s="1394" t="s">
        <v>432</v>
      </c>
      <c r="K39" s="1394" t="s">
        <v>480</v>
      </c>
      <c r="L39" s="1394" t="s">
        <v>408</v>
      </c>
      <c r="Q39" s="377"/>
      <c r="R39" s="377"/>
      <c r="S39" s="2125"/>
      <c r="T39" s="2062"/>
      <c r="U39" s="290"/>
      <c r="V39" s="1513" t="s">
        <v>533</v>
      </c>
      <c r="W39" s="1237" t="s">
        <v>534</v>
      </c>
      <c r="X39" s="1237" t="s">
        <v>535</v>
      </c>
      <c r="Y39" s="1519" t="s">
        <v>436</v>
      </c>
      <c r="Z39" s="2121" t="s">
        <v>437</v>
      </c>
      <c r="AA39" s="2122"/>
      <c r="AB39" s="2131"/>
      <c r="AC39" s="1513" t="s">
        <v>533</v>
      </c>
      <c r="AD39" s="1237" t="s">
        <v>534</v>
      </c>
      <c r="AE39" s="1237" t="s">
        <v>535</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530</v>
      </c>
      <c r="AM43" s="506"/>
      <c r="AN43" s="506" t="str">
        <f>IF(T43="","",T43)</f>
        <v>Наименование централизованной системы горячего водоснабжения</v>
      </c>
      <c r="AO43" s="506"/>
      <c r="AP43" s="506"/>
    </row>
    <row customHeight="1" ht="23.25">
      <c r="A44" s="1393" t="s">
        <v>235</v>
      </c>
      <c r="B44" s="1393" t="s">
        <v>236</v>
      </c>
      <c r="C44" s="1393" t="s">
        <v>237</v>
      </c>
      <c r="D44" s="1393" t="s">
        <v>536</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235</v>
      </c>
      <c r="B45" s="1393" t="s">
        <v>236</v>
      </c>
      <c r="C45" s="1393" t="s">
        <v>237</v>
      </c>
      <c r="D45" s="1393" t="s">
        <v>536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235</v>
      </c>
      <c r="B46" s="1393" t="s">
        <v>236</v>
      </c>
      <c r="C46" s="1393" t="s">
        <v>237</v>
      </c>
      <c r="D46" s="1393" t="s">
        <v>536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536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536</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235</v>
      </c>
      <c r="B49" s="1393" t="s">
        <v>236</v>
      </c>
      <c r="C49" s="1393" t="s">
        <v>237</v>
      </c>
      <c r="D49" s="1393" t="s">
        <v>536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536</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235</v>
      </c>
      <c r="B51" s="1373" t="s">
        <v>236</v>
      </c>
      <c r="C51" s="1344"/>
      <c r="D51" s="1344"/>
      <c r="E51" s="2108"/>
      <c r="F51" s="2107"/>
      <c r="G51" s="1344"/>
      <c r="H51" s="1344"/>
      <c r="I51" s="1344"/>
      <c r="J51" s="1344"/>
      <c r="K51" s="1344"/>
      <c r="L51" s="1524"/>
      <c r="M51" s="1351"/>
      <c r="N51" s="1351"/>
      <c r="P51" s="1346"/>
      <c r="Q51" s="1347"/>
      <c r="R51" s="1346"/>
      <c r="S51" s="1352"/>
      <c r="T51" s="1355" t="s">
        <v>254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255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93658-97E4-8B3C-E646-237279D45D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4.140625" hidden="1" customWidth="1"/>
    <col min="10" max="10" style="3327" width="9.8515625" hidden="1" customWidth="1"/>
    <col min="11" max="11" style="3327" width="14.7109375" hidden="1" customWidth="1"/>
    <col min="12" max="12" style="3653" width="19.140625" hidden="1" customWidth="1"/>
    <col min="13" max="14" style="3329" width="12.28125" hidden="1" customWidth="1"/>
    <col min="15" max="15" style="3329" width="23.421875" hidden="1" customWidth="1"/>
    <col min="16" max="16" style="3707" width="3.7109375" customWidth="1"/>
    <col min="17" max="18" style="3406" width="3.7109375" customWidth="1"/>
    <col min="19" max="19" style="3407"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472</v>
      </c>
      <c r="U5" s="288"/>
      <c r="V5" s="2194"/>
      <c r="W5" s="2195"/>
      <c r="X5" s="2195"/>
      <c r="Y5" s="2195"/>
      <c r="Z5" s="2195"/>
      <c r="AA5" s="2195"/>
      <c r="AB5" s="2196"/>
      <c r="AC5" s="2197"/>
      <c r="AD5" s="2198"/>
      <c r="AE5" s="2198"/>
      <c r="AF5" s="2198"/>
      <c r="AG5" s="2198"/>
      <c r="AH5" s="2198"/>
      <c r="AI5" s="2198"/>
      <c r="AJ5" s="2199"/>
      <c r="AK5" s="1286" t="s">
        <v>473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475</v>
      </c>
      <c r="U9" s="367"/>
      <c r="V9" s="367"/>
      <c r="W9" s="367"/>
      <c r="X9" s="367"/>
      <c r="Y9" s="367"/>
      <c r="Z9" s="367"/>
      <c r="AA9" s="367"/>
      <c r="AB9" s="367"/>
      <c r="AC9" s="367"/>
      <c r="AD9" s="367"/>
      <c r="AE9" s="367"/>
      <c r="AF9" s="367"/>
      <c r="AG9" s="367"/>
      <c r="AH9" s="367"/>
      <c r="AI9" s="367"/>
      <c r="AJ9" s="367"/>
      <c r="AK9" s="1286" t="s">
        <v>476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327"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327" customFormat="1" customHeight="1" ht="14.25" hidden="1">
      <c r="L19" s="1508"/>
      <c r="M19" s="1392"/>
      <c r="N19" s="1392"/>
      <c r="O19" s="1392"/>
      <c r="P19" s="1392"/>
      <c r="Q19" s="1401"/>
      <c r="R19" s="1401"/>
      <c r="S19" s="735"/>
      <c r="AB19" s="1396"/>
      <c r="AI19" s="1396"/>
      <c r="AL19" s="517"/>
      <c r="AM19" s="517"/>
      <c r="AN19" s="517"/>
      <c r="AO19" s="517"/>
      <c r="AP19" s="517"/>
    </row>
    <row s="3327"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промышленности, экономического развития и торговли Республики Марий Эл</v>
      </c>
      <c r="W27" s="2100"/>
      <c r="X27" s="2100"/>
      <c r="Y27" s="2100"/>
      <c r="Z27" s="2100"/>
      <c r="AA27" s="2100"/>
      <c r="AB27" s="322"/>
      <c r="AC27" s="2100" t="str">
        <f>IF(TITLE_NAME_OR_PR_CHANGE="",IF(TITLE_NAME_OR_PR="","",TITLE_NAME_OR_PR),TITLE_NAME_OR_PR_CHANGE)</f>
        <v>Министерство промышленности, экономического развития и торговли Республики Марий Эл</v>
      </c>
      <c r="AD27" s="2100"/>
      <c r="AE27" s="2100"/>
      <c r="AF27" s="2100"/>
      <c r="AG27" s="2100"/>
      <c r="AH27" s="2100"/>
      <c r="AI27" s="322"/>
      <c r="AJ27" s="322"/>
      <c r="AK27" s="268"/>
      <c r="AL27" s="368"/>
      <c r="AM27" s="368"/>
      <c r="AN27" s="368"/>
      <c r="AO27" s="368"/>
      <c r="AP27" s="368"/>
    </row>
    <row s="3340"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45275.50763888889</v>
      </c>
      <c r="W28" s="2099"/>
      <c r="X28" s="2099"/>
      <c r="Y28" s="2099"/>
      <c r="Z28" s="2099"/>
      <c r="AA28" s="2099"/>
      <c r="AB28" s="322"/>
      <c r="AC28" s="2099" t="str">
        <f>IF(TITLE_DATE_PR_CHANGE="",IF(TITLE_DATE_PR="","",TITLE_DATE_PR),TITLE_DATE_PR_CHANGE)</f>
        <v>45275.50763888889</v>
      </c>
      <c r="AD28" s="2099"/>
      <c r="AE28" s="2099"/>
      <c r="AF28" s="2099"/>
      <c r="AG28" s="2099"/>
      <c r="AH28" s="2099"/>
      <c r="AI28" s="322"/>
      <c r="AJ28" s="322"/>
      <c r="AK28" s="268"/>
      <c r="AL28" s="368"/>
      <c r="AM28" s="368"/>
      <c r="AN28" s="368"/>
      <c r="AO28" s="368"/>
      <c r="AP28" s="368"/>
    </row>
    <row s="3340"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52т, 102т</v>
      </c>
      <c r="W29" s="2100"/>
      <c r="X29" s="2100"/>
      <c r="Y29" s="2100"/>
      <c r="Z29" s="2100"/>
      <c r="AA29" s="2100"/>
      <c r="AB29" s="322"/>
      <c r="AC29" s="2100" t="str">
        <f>IF(TITLE_NUMBER_PR_CHANGE="",IF(TITLE_NUMBER_PR="","",TITLE_NUMBER_PR),TITLE_NUMBER_PR_CHANGE)</f>
        <v>52т, 102т</v>
      </c>
      <c r="AD29" s="2100"/>
      <c r="AE29" s="2100"/>
      <c r="AF29" s="2100"/>
      <c r="AG29" s="2100"/>
      <c r="AH29" s="2100"/>
      <c r="AI29" s="322"/>
      <c r="AJ29" s="322"/>
      <c r="AK29" s="268"/>
      <c r="AL29" s="368"/>
      <c r="AM29" s="368"/>
      <c r="AN29" s="368"/>
      <c r="AO29" s="368"/>
      <c r="AP29" s="368"/>
    </row>
    <row s="3340"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https://mari-el.gov.ru/ministries/mecon/tarif/pages/resheniya-ob-ustanovlenii-tarifov-vodosnabzhenie-vodootvedenie-utilizatsiya-tbo/#close</v>
      </c>
      <c r="W30" s="2100"/>
      <c r="X30" s="2100"/>
      <c r="Y30" s="2100"/>
      <c r="Z30" s="2100"/>
      <c r="AA30" s="2100"/>
      <c r="AB30" s="322"/>
      <c r="AC30" s="2100" t="str">
        <f>IF(TITLE_IST_PUB_CHANGE="",IF(TITLE_IST_PUB="","",TITLE_IST_PUB),TITLE_IST_PUB_CHANGE)</f>
        <v>https://mari-el.gov.ru/ministries/mecon/tarif/pages/resheniya-ob-ustanovlenii-tarifov-vodosnabzhenie-vodootvedenie-utilizatsiya-tbo/#close</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45275.50763888889</v>
      </c>
      <c r="W32" s="2099"/>
      <c r="X32" s="2099"/>
      <c r="Y32" s="2099"/>
      <c r="Z32" s="2099"/>
      <c r="AA32" s="2099"/>
      <c r="AB32" s="322"/>
      <c r="AC32" s="2099" t="str">
        <f>IF(TITLE_DATE_PR_CHANGE="",IF(TITLE_DATE_PR="","",TITLE_DATE_PR),TITLE_DATE_PR_CHANGE)</f>
        <v>45275.50763888889</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52т, 102т</v>
      </c>
      <c r="W33" s="2100"/>
      <c r="X33" s="2100"/>
      <c r="Y33" s="2100"/>
      <c r="Z33" s="2100"/>
      <c r="AA33" s="2100"/>
      <c r="AB33" s="322"/>
      <c r="AC33" s="2100" t="str">
        <f>IF(TITLE_NUMBER_PR_CHANGE="",IF(TITLE_NUMBER_PR="","",TITLE_NUMBER_PR),TITLE_NUMBER_PR_CHANGE)</f>
        <v>52т, 102т</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531</v>
      </c>
      <c r="W38" s="2118" t="s">
        <v>532</v>
      </c>
      <c r="X38" s="2120"/>
      <c r="Y38" s="2118" t="s">
        <v>426</v>
      </c>
      <c r="Z38" s="2119"/>
      <c r="AA38" s="2120"/>
      <c r="AB38" s="2130"/>
      <c r="AC38" s="1513" t="s">
        <v>531</v>
      </c>
      <c r="AD38" s="2118" t="s">
        <v>532</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479</v>
      </c>
      <c r="J39" s="1394" t="s">
        <v>432</v>
      </c>
      <c r="K39" s="1394" t="s">
        <v>480</v>
      </c>
      <c r="L39" s="1394" t="s">
        <v>408</v>
      </c>
      <c r="Q39" s="377"/>
      <c r="R39" s="377"/>
      <c r="S39" s="2125"/>
      <c r="T39" s="2062"/>
      <c r="U39" s="290"/>
      <c r="V39" s="1513" t="s">
        <v>533</v>
      </c>
      <c r="W39" s="1237" t="s">
        <v>534</v>
      </c>
      <c r="X39" s="1237" t="s">
        <v>535</v>
      </c>
      <c r="Y39" s="1519" t="s">
        <v>436</v>
      </c>
      <c r="Z39" s="2121" t="s">
        <v>437</v>
      </c>
      <c r="AA39" s="2122"/>
      <c r="AB39" s="2131"/>
      <c r="AC39" s="1513" t="s">
        <v>533</v>
      </c>
      <c r="AD39" s="1237" t="s">
        <v>534</v>
      </c>
      <c r="AE39" s="1237" t="s">
        <v>535</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530</v>
      </c>
      <c r="AM43" s="506"/>
      <c r="AN43" s="506" t="str">
        <f>IF(T43="","",T43)</f>
        <v>Наименование централизованной системы горячего водоснабжения</v>
      </c>
      <c r="AO43" s="506"/>
      <c r="AP43" s="506"/>
    </row>
    <row customHeight="1" ht="23.25">
      <c r="A44" s="1393" t="s">
        <v>235</v>
      </c>
      <c r="B44" s="1393" t="s">
        <v>236</v>
      </c>
      <c r="C44" s="1393" t="s">
        <v>237</v>
      </c>
      <c r="D44" s="1393" t="s">
        <v>536</v>
      </c>
      <c r="E44" s="2108"/>
      <c r="F44" s="2108"/>
      <c r="G44" s="2108"/>
      <c r="H44" s="2108"/>
      <c r="I44" s="2109" t="str">
        <f>S43&amp;".1"</f>
        <v>...1</v>
      </c>
      <c r="J44" s="1393"/>
      <c r="K44" s="1393"/>
      <c r="L44" s="1394"/>
      <c r="P44" s="2111">
        <v>1</v>
      </c>
      <c r="Q44" s="1511"/>
      <c r="R44" s="352"/>
      <c r="S44" s="1523" t="str">
        <f>$I44</f>
        <v>...1</v>
      </c>
      <c r="T44" s="273" t="s">
        <v>472</v>
      </c>
      <c r="U44" s="288"/>
      <c r="V44" s="2194"/>
      <c r="W44" s="2195"/>
      <c r="X44" s="2195"/>
      <c r="Y44" s="2195"/>
      <c r="Z44" s="2195"/>
      <c r="AA44" s="2195"/>
      <c r="AB44" s="2196"/>
      <c r="AC44" s="2197"/>
      <c r="AD44" s="2198"/>
      <c r="AE44" s="2198"/>
      <c r="AF44" s="2198"/>
      <c r="AG44" s="2198"/>
      <c r="AH44" s="2198"/>
      <c r="AI44" s="2198"/>
      <c r="AJ44" s="2199"/>
      <c r="AK44" s="1286" t="s">
        <v>473</v>
      </c>
      <c r="AM44" s="506"/>
      <c r="AN44" s="506" t="str">
        <f>IF(T44="","",T44)</f>
        <v>Наименование признака дифференциации</v>
      </c>
      <c r="AO44" s="506"/>
      <c r="AP44" s="506"/>
    </row>
    <row customHeight="1" ht="23.25">
      <c r="A45" s="1393" t="s">
        <v>235</v>
      </c>
      <c r="B45" s="1393" t="s">
        <v>236</v>
      </c>
      <c r="C45" s="1393" t="s">
        <v>237</v>
      </c>
      <c r="D45" s="1393" t="s">
        <v>536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474</v>
      </c>
      <c r="AM45" s="506"/>
      <c r="AN45" s="506" t="str">
        <f>IF(T45="","",T45)</f>
        <v>Группа потребителей</v>
      </c>
      <c r="AO45" s="506"/>
      <c r="AP45" s="506"/>
    </row>
    <row customHeight="1" ht="23.25">
      <c r="A46" s="1393" t="s">
        <v>235</v>
      </c>
      <c r="B46" s="1393" t="s">
        <v>236</v>
      </c>
      <c r="C46" s="1393" t="s">
        <v>237</v>
      </c>
      <c r="D46" s="1393" t="s">
        <v>536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536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536</v>
      </c>
      <c r="E48" s="2108"/>
      <c r="F48" s="2108"/>
      <c r="G48" s="2108"/>
      <c r="H48" s="2108"/>
      <c r="I48" s="2110"/>
      <c r="J48" s="2109"/>
      <c r="K48" s="1393"/>
      <c r="L48" s="1394"/>
      <c r="P48" s="2111"/>
      <c r="Q48" s="2111"/>
      <c r="R48" s="352"/>
      <c r="S48" s="1308"/>
      <c r="T48" s="275" t="s">
        <v>475</v>
      </c>
      <c r="U48" s="367"/>
      <c r="V48" s="367"/>
      <c r="W48" s="367"/>
      <c r="X48" s="367"/>
      <c r="Y48" s="367"/>
      <c r="Z48" s="367"/>
      <c r="AA48" s="367"/>
      <c r="AB48" s="367"/>
      <c r="AC48" s="367"/>
      <c r="AD48" s="367"/>
      <c r="AE48" s="367"/>
      <c r="AF48" s="367"/>
      <c r="AG48" s="367"/>
      <c r="AH48" s="367"/>
      <c r="AI48" s="367"/>
      <c r="AJ48" s="367"/>
      <c r="AK48" s="1286" t="s">
        <v>476</v>
      </c>
      <c r="AM48" s="506"/>
      <c r="AN48" s="506" t="str">
        <f>IF(T48="","",T48)</f>
        <v>Добавить значение признака дифференциации</v>
      </c>
      <c r="AO48" s="506"/>
      <c r="AP48" s="506"/>
    </row>
    <row customHeight="1" ht="21">
      <c r="A49" s="1393" t="s">
        <v>235</v>
      </c>
      <c r="B49" s="1393" t="s">
        <v>236</v>
      </c>
      <c r="C49" s="1393" t="s">
        <v>237</v>
      </c>
      <c r="D49" s="1393" t="s">
        <v>536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536</v>
      </c>
      <c r="E50" s="2108"/>
      <c r="F50" s="2108"/>
      <c r="G50" s="2108"/>
      <c r="H50" s="2107"/>
      <c r="I50" s="1393"/>
      <c r="J50" s="1393"/>
      <c r="K50" s="1393"/>
      <c r="L50" s="1394"/>
      <c r="M50" s="1395"/>
      <c r="N50" s="1395"/>
      <c r="O50" s="543"/>
      <c r="P50" s="356"/>
      <c r="Q50" s="376"/>
      <c r="R50" s="351"/>
      <c r="S50" s="1308"/>
      <c r="T50" s="372" t="s">
        <v>477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235</v>
      </c>
      <c r="B51" s="1373" t="s">
        <v>236</v>
      </c>
      <c r="C51" s="1344"/>
      <c r="D51" s="1344"/>
      <c r="E51" s="2108"/>
      <c r="F51" s="2107"/>
      <c r="G51" s="1344"/>
      <c r="H51" s="1344"/>
      <c r="I51" s="1344"/>
      <c r="J51" s="1344"/>
      <c r="K51" s="1344"/>
      <c r="L51" s="1524"/>
      <c r="M51" s="1351"/>
      <c r="N51" s="1351"/>
      <c r="P51" s="1346"/>
      <c r="Q51" s="1347"/>
      <c r="R51" s="1346"/>
      <c r="S51" s="1352"/>
      <c r="T51" s="1355" t="s">
        <v>254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255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70A86-2675-3552-102F-6F76DEF20D3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27" width="11.57421875" hidden="1" customWidth="1"/>
    <col min="2" max="2" style="3327" width="11.00390625" hidden="1" customWidth="1"/>
    <col min="3" max="3" style="3327" width="10.57421875" hidden="1"/>
    <col min="4" max="4" style="3327" width="12.8515625" hidden="1" customWidth="1"/>
    <col min="5" max="5" style="3327" width="10.00390625" hidden="1" customWidth="1"/>
    <col min="6" max="6" style="3327" width="8.7109375" hidden="1" customWidth="1"/>
    <col min="7" max="7" style="3327" width="7.57421875" hidden="1" customWidth="1"/>
    <col min="8" max="8" style="3327" width="11.421875" hidden="1" customWidth="1"/>
    <col min="9" max="9" style="3327" width="12.00390625" hidden="1" customWidth="1"/>
    <col min="10" max="10" style="3327" width="9.8515625" hidden="1" customWidth="1"/>
    <col min="11" max="11" style="3327" width="11.421875" hidden="1" customWidth="1"/>
    <col min="12" max="12" style="3653"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5" width="32.00390625" customWidth="1"/>
    <col min="21" max="21" style="2975" width="0.140625" customWidth="1"/>
    <col min="22" max="25" style="2975" width="21.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2" style="2975" width="3.7109375" customWidth="1"/>
    <col min="33" max="33" style="2975" width="24.7109375" customWidth="1"/>
    <col min="34" max="36" style="2975" width="3.7109375" customWidth="1"/>
    <col min="37" max="37" style="2975" width="24.7109375" customWidth="1"/>
    <col min="38" max="40" style="2975" width="3.7109375" customWidth="1"/>
    <col min="41" max="41" style="2975" width="18.8515625" customWidth="1"/>
    <col min="42" max="44" style="2975" width="3.7109375" customWidth="1"/>
    <col min="45" max="45" style="2975" width="18.8515625" customWidth="1"/>
    <col min="46" max="49" style="2975" width="21.7109375" customWidth="1"/>
    <col min="50" max="50" style="2975" width="11.7109375" customWidth="1"/>
    <col min="51" max="51" style="2975" width="3.7109375" customWidth="1"/>
    <col min="52" max="52" style="2975" width="11.7109375" customWidth="1"/>
    <col min="53" max="53" style="2975" width="8.57421875" hidden="1" customWidth="1"/>
    <col min="54" max="54" style="2975" width="4.7109375" customWidth="1"/>
    <col min="55" max="55" style="2975"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530</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8"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8"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3" customFormat="1" customHeight="1" ht="14.25" hidden="1">
      <c r="M24" s="1538"/>
      <c r="N24" s="1538"/>
      <c r="O24" s="1539" t="s">
        <v>408</v>
      </c>
      <c r="P24" s="1538"/>
      <c r="Q24" s="1540"/>
      <c r="R24" s="1540"/>
      <c r="AA24" s="1537" t="s">
        <v>410</v>
      </c>
      <c r="AC24" s="1537" t="s">
        <v>411</v>
      </c>
      <c r="AD24" s="1537" t="s">
        <v>457</v>
      </c>
      <c r="AH24" s="1537" t="s">
        <v>457</v>
      </c>
      <c r="AK24" s="1537" t="s">
        <v>493</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0"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промышленности, экономического развития и торговли Республики Марий Эл</v>
      </c>
      <c r="W31" s="2100"/>
      <c r="X31" s="2100"/>
      <c r="Y31" s="2100"/>
      <c r="Z31" s="2100"/>
      <c r="AA31" s="2100"/>
      <c r="AB31" s="2100"/>
      <c r="AC31" s="322"/>
      <c r="AD31" s="2100" t="str">
        <f>IF(TITLE_NAME_OR_PR_CHANGE="",IF(TITLE_NAME_OR_PR="","",TITLE_NAME_OR_PR),TITLE_NAME_OR_PR_CHANGE)</f>
        <v>Министерство промышленности, экономического развития и торговли Республики Марий Эл</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0"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45275.50763888889</v>
      </c>
      <c r="W32" s="2099"/>
      <c r="X32" s="2099"/>
      <c r="Y32" s="2099"/>
      <c r="Z32" s="2099"/>
      <c r="AA32" s="2099"/>
      <c r="AB32" s="2099"/>
      <c r="AC32" s="322"/>
      <c r="AD32" s="2099" t="str">
        <f>IF(TITLE_DATE_PR_CHANGE="",IF(TITLE_DATE_PR="","",TITLE_DATE_PR),TITLE_DATE_PR_CHANGE)</f>
        <v>45275.50763888889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0"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52т, 102т</v>
      </c>
      <c r="W33" s="2100"/>
      <c r="X33" s="2100"/>
      <c r="Y33" s="2100"/>
      <c r="Z33" s="2100"/>
      <c r="AA33" s="2100"/>
      <c r="AB33" s="2100"/>
      <c r="AC33" s="322"/>
      <c r="AD33" s="2100" t="str">
        <f>IF(TITLE_NUMBER_PR_CHANGE="",IF(TITLE_NUMBER_PR="","",TITLE_NUMBER_PR),TITLE_NUMBER_PR_CHANGE)</f>
        <v>52т, 102т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0"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https://mari-el.gov.ru/ministries/mecon/tarif/pages/resheniya-ob-ustanovlenii-tarifov-vodosnabzhenie-vodootvedenie-utilizatsiya-tbo/#close</v>
      </c>
      <c r="W34" s="2100"/>
      <c r="X34" s="2100"/>
      <c r="Y34" s="2100"/>
      <c r="Z34" s="2100"/>
      <c r="AA34" s="2100"/>
      <c r="AB34" s="2100"/>
      <c r="AC34" s="322"/>
      <c r="AD34" s="2100" t="str">
        <f>IF(TITLE_IST_PUB_CHANGE="",IF(TITLE_IST_PUB="","",TITLE_IST_PUB),TITLE_IST_PUB_CHANGE)</f>
        <v>https://mari-el.gov.ru/ministries/mecon/tarif/pages/resheniya-ob-ustanovlenii-tarifov-vodosnabzhenie-vodootvedenie-utilizatsiya-tbo/#close</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0"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45275.50763888889</v>
      </c>
      <c r="W36" s="2099"/>
      <c r="X36" s="2099"/>
      <c r="Y36" s="2099"/>
      <c r="Z36" s="2099"/>
      <c r="AA36" s="2099"/>
      <c r="AB36" s="2099"/>
      <c r="AC36" s="322"/>
      <c r="AD36" s="2099" t="str">
        <f>IF(TITLE_DATE_PR_CHANGE="",IF(TITLE_DATE_PR="","",TITLE_DATE_PR),TITLE_DATE_PR_CHANGE)</f>
        <v>45275.50763888889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0"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52т, 102т</v>
      </c>
      <c r="W37" s="2100"/>
      <c r="X37" s="2100"/>
      <c r="Y37" s="2100"/>
      <c r="Z37" s="2100"/>
      <c r="AA37" s="2100"/>
      <c r="AB37" s="2100"/>
      <c r="AC37" s="322"/>
      <c r="AD37" s="2100" t="str">
        <f>IF(TITLE_NUMBER_PR_CHANGE="",IF(TITLE_NUMBER_PR="","",TITLE_NUMBER_PR),TITLE_NUMBER_PR_CHANGE)</f>
        <v>52т, 102т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494</v>
      </c>
      <c r="U41" s="289"/>
      <c r="V41" s="2126" t="s">
        <v>419</v>
      </c>
      <c r="W41" s="2127"/>
      <c r="X41" s="2127"/>
      <c r="Y41" s="2127"/>
      <c r="Z41" s="2127"/>
      <c r="AA41" s="2127"/>
      <c r="AB41" s="2128"/>
      <c r="AC41" s="2129" t="s">
        <v>420</v>
      </c>
      <c r="AD41" s="2173" t="s">
        <v>495</v>
      </c>
      <c r="AE41" s="2146"/>
      <c r="AF41" s="2146"/>
      <c r="AG41" s="2174"/>
      <c r="AH41" s="2173" t="s">
        <v>496</v>
      </c>
      <c r="AI41" s="2146"/>
      <c r="AJ41" s="2146"/>
      <c r="AK41" s="2174"/>
      <c r="AL41" s="2173" t="s">
        <v>497</v>
      </c>
      <c r="AM41" s="2146"/>
      <c r="AN41" s="2146"/>
      <c r="AO41" s="2174"/>
      <c r="AP41" s="2173" t="s">
        <v>498</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499</v>
      </c>
      <c r="AU42" s="2030"/>
      <c r="AV42" s="2029" t="s">
        <v>500</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467</v>
      </c>
      <c r="W44" s="1509" t="s">
        <v>468</v>
      </c>
      <c r="X44" s="1509" t="s">
        <v>467</v>
      </c>
      <c r="Y44" s="1509" t="s">
        <v>468</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436</v>
      </c>
      <c r="AY44" s="2121" t="s">
        <v>437</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245</v>
      </c>
      <c r="B47" s="1393" t="s">
        <v>246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245</v>
      </c>
      <c r="B48" s="1393" t="s">
        <v>246</v>
      </c>
      <c r="C48" s="1393" t="s">
        <v>247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530</v>
      </c>
      <c r="BE48" s="506"/>
      <c r="BF48" s="506" t="str">
        <f>IF(T48="","",T48)</f>
        <v>Наименование централизованной системы горячего водоснабжения</v>
      </c>
      <c r="BG48" s="506"/>
      <c r="BH48" s="506"/>
    </row>
    <row s="2612" customFormat="1" customHeight="1" ht="0">
      <c r="A49" s="1373" t="s">
        <v>245</v>
      </c>
      <c r="B49" s="1373" t="s">
        <v>246</v>
      </c>
      <c r="C49" s="1373" t="s">
        <v>247</v>
      </c>
      <c r="D49" s="1373" t="s">
        <v>537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245</v>
      </c>
      <c r="B50" s="1373" t="s">
        <v>246</v>
      </c>
      <c r="C50" s="1373" t="s">
        <v>247</v>
      </c>
      <c r="D50" s="1373" t="s">
        <v>537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245</v>
      </c>
      <c r="B51" s="1373" t="s">
        <v>246</v>
      </c>
      <c r="C51" s="1373" t="s">
        <v>247</v>
      </c>
      <c r="D51" s="1373" t="s">
        <v>537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245</v>
      </c>
      <c r="B52" s="1393" t="s">
        <v>246</v>
      </c>
      <c r="C52" s="1393" t="s">
        <v>247</v>
      </c>
      <c r="D52" s="1393" t="s">
        <v>537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245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245</v>
      </c>
      <c r="B56" s="1393" t="s">
        <v>246</v>
      </c>
      <c r="C56" s="1393" t="s">
        <v>247</v>
      </c>
      <c r="D56" s="1393" t="s">
        <v>537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245</v>
      </c>
      <c r="B57" s="1393" t="s">
        <v>246</v>
      </c>
      <c r="C57" s="1393" t="s">
        <v>247</v>
      </c>
      <c r="D57" s="1393" t="s">
        <v>537</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245</v>
      </c>
      <c r="B58" s="1373" t="s">
        <v>246</v>
      </c>
      <c r="C58" s="1373" t="s">
        <v>247</v>
      </c>
      <c r="D58" s="1373" t="s">
        <v>537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245</v>
      </c>
      <c r="B59" s="1373" t="s">
        <v>246</v>
      </c>
      <c r="C59" s="1373" t="s">
        <v>247</v>
      </c>
      <c r="D59" s="1373" t="s">
        <v>537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8" customFormat="1" customHeight="1" ht="0">
      <c r="A60" s="1373" t="s">
        <v>245</v>
      </c>
      <c r="B60" s="1373" t="s">
        <v>246</v>
      </c>
      <c r="C60" s="1373" t="s">
        <v>247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8" customFormat="1" customHeight="1" ht="0">
      <c r="A61" s="1373" t="s">
        <v>245</v>
      </c>
      <c r="B61" s="1373" t="s">
        <v>246</v>
      </c>
      <c r="C61" s="1344"/>
      <c r="D61" s="1344"/>
      <c r="E61" s="2108"/>
      <c r="F61" s="2107"/>
      <c r="G61" s="1344"/>
      <c r="H61" s="1344"/>
      <c r="I61" s="1344"/>
      <c r="J61" s="1344"/>
      <c r="K61" s="1344"/>
      <c r="L61" s="1524"/>
      <c r="M61" s="1351"/>
      <c r="N61" s="1351"/>
      <c r="P61" s="1346"/>
      <c r="Q61" s="1347"/>
      <c r="R61" s="1346"/>
      <c r="S61" s="1352"/>
      <c r="T61" s="1355" t="s">
        <v>254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245</v>
      </c>
      <c r="B62" s="1373"/>
      <c r="C62" s="1373"/>
      <c r="D62" s="1373"/>
      <c r="E62" s="2107"/>
      <c r="F62" s="1373"/>
      <c r="G62" s="1373"/>
      <c r="H62" s="1373"/>
      <c r="I62" s="1373"/>
      <c r="J62" s="1373"/>
      <c r="K62" s="1373"/>
      <c r="L62" s="1376"/>
      <c r="M62" s="1351"/>
      <c r="N62" s="1351"/>
      <c r="O62" s="524"/>
      <c r="P62" s="385"/>
      <c r="Q62" s="1374"/>
      <c r="R62" s="385"/>
      <c r="S62" s="1352"/>
      <c r="T62" s="1355" t="s">
        <v>255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8"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FD622-7822-6643-769F-89BA6457489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616" width="10.7109375" hidden="1" customWidth="1"/>
    <col min="2" max="2" style="3327" width="16.8515625" hidden="1" customWidth="1"/>
    <col min="3" max="3" style="4607" width="5.57421875" hidden="1" customWidth="1"/>
    <col min="4" max="4" style="4719" width="3.7109375" customWidth="1"/>
    <col min="5" max="5" style="2984" width="7.7109375" customWidth="1"/>
    <col min="6" max="6" style="2984" width="54.57421875" customWidth="1"/>
    <col min="7" max="7" style="2984" width="10.421875" customWidth="1"/>
    <col min="8" max="8" style="2984" width="40.7109375" hidden="1" customWidth="1"/>
    <col min="9" max="9" style="2984" width="40.7109375" customWidth="1"/>
    <col min="10" max="10" style="2984" width="102.8515625" customWidth="1"/>
    <col min="11" max="11" style="3327" width="9.7109375" customWidth="1"/>
    <col min="12" max="12" style="4607" width="5.28125" customWidth="1"/>
    <col min="13" max="13" style="4607" width="3.7109375" customWidth="1"/>
    <col min="14" max="17" style="3327" width="3.7109375" customWidth="1"/>
    <col min="18" max="18" style="4607" width="10.57421875" customWidth="1"/>
    <col min="19" max="19" style="3327" width="34.7109375" customWidth="1"/>
    <col min="20" max="20" style="3327" width="9.421875" customWidth="1"/>
    <col min="21" max="21" style="4620" width="9.140625"/>
    <col min="22" max="26" style="3327" width="9.140625"/>
    <col min="27" max="31" style="2983" width="9.140625"/>
  </cols>
  <sheetData>
    <row customHeight="1" ht="11.25" hidden="1"/>
    <row customHeight="1" ht="23.25" hidden="1">
      <c r="B2" s="1953"/>
      <c r="C2" s="1175" t="s">
        <v>538</v>
      </c>
      <c r="D2" s="1678"/>
      <c r="E2" s="552">
        <f>B2</f>
        <v>0</v>
      </c>
      <c r="F2" s="553"/>
      <c r="G2" s="1686" t="s">
        <v>539</v>
      </c>
      <c r="H2" s="1686" t="s">
        <v>539</v>
      </c>
      <c r="I2" s="1686" t="s">
        <v>539</v>
      </c>
      <c r="J2" s="277" t="s">
        <v>540</v>
      </c>
      <c r="K2" s="549"/>
    </row>
    <row s="4607" customFormat="1" customHeight="1" ht="0.75" hidden="1">
      <c r="B3" s="1953"/>
      <c r="C3" s="1175"/>
      <c r="D3" s="554"/>
      <c r="E3" s="555"/>
      <c r="F3" s="556" t="s">
        <v>541</v>
      </c>
      <c r="G3" s="557"/>
      <c r="H3" s="557">
        <f>H4*H5+H7</f>
        <v>0</v>
      </c>
      <c r="I3" s="557">
        <f>I4*I5+I6</f>
        <v>0</v>
      </c>
      <c r="J3" s="558"/>
    </row>
    <row customHeight="1" ht="23.25" hidden="1">
      <c r="B4" s="1953"/>
      <c r="C4" s="1175"/>
      <c r="D4" s="1678"/>
      <c r="E4" s="552" t="str">
        <f>B2&amp;".1"</f>
        <v>.1</v>
      </c>
      <c r="F4" s="559" t="s">
        <v>542</v>
      </c>
      <c r="G4" s="560"/>
      <c r="H4" s="547"/>
      <c r="I4" s="547"/>
      <c r="J4" s="277" t="s">
        <v>543</v>
      </c>
      <c r="K4" s="549"/>
    </row>
    <row customHeight="1" ht="18.75" hidden="1">
      <c r="B5" s="1953"/>
      <c r="C5" s="1175"/>
      <c r="D5" s="1678"/>
      <c r="E5" s="552" t="str">
        <f>B2&amp;".2"</f>
        <v>.2</v>
      </c>
      <c r="F5" s="559" t="s">
        <v>544</v>
      </c>
      <c r="G5" s="1686" t="s">
        <v>545</v>
      </c>
      <c r="H5" s="547"/>
      <c r="I5" s="547"/>
      <c r="J5" s="277"/>
      <c r="K5" s="549"/>
    </row>
    <row customHeight="1" ht="18.75" hidden="1">
      <c r="B6" s="1953"/>
      <c r="C6" s="1175"/>
      <c r="D6" s="1678"/>
      <c r="E6" s="552" t="str">
        <f>B2&amp;".3"</f>
        <v>.3</v>
      </c>
      <c r="F6" s="559" t="s">
        <v>546</v>
      </c>
      <c r="G6" s="1686" t="s">
        <v>545</v>
      </c>
      <c r="H6" s="547"/>
      <c r="I6" s="547"/>
      <c r="J6" s="277"/>
      <c r="K6" s="549"/>
    </row>
    <row customHeight="1" ht="18.75" hidden="1">
      <c r="B7" s="1953"/>
      <c r="C7" s="1175"/>
      <c r="D7" s="1678"/>
      <c r="E7" s="552" t="str">
        <f>B2&amp;".4"</f>
        <v>.4</v>
      </c>
      <c r="F7" s="559" t="s">
        <v>547</v>
      </c>
      <c r="G7" s="1686" t="s">
        <v>539</v>
      </c>
      <c r="H7" s="561"/>
      <c r="I7" s="561"/>
      <c r="J7" s="277"/>
      <c r="K7" s="549"/>
    </row>
    <row s="3327" customFormat="1" customHeight="1" ht="11.25" hidden="1">
      <c r="A8" s="994"/>
      <c r="C8" s="1676"/>
      <c r="D8" s="543"/>
      <c r="H8" s="1168">
        <v>4</v>
      </c>
      <c r="I8" s="1168">
        <v>4</v>
      </c>
      <c r="L8" s="1676"/>
      <c r="M8" s="1676"/>
      <c r="R8" s="1676"/>
    </row>
    <row s="3327" customFormat="1" customHeight="1" ht="22.5" hidden="1">
      <c r="A9" s="994"/>
      <c r="C9" s="1676"/>
      <c r="D9" s="544"/>
      <c r="E9" s="1688"/>
      <c r="F9" s="546"/>
      <c r="G9" s="1686" t="s">
        <v>545</v>
      </c>
      <c r="H9" s="547"/>
      <c r="I9" s="547"/>
      <c r="J9" s="548" t="s">
        <v>548</v>
      </c>
      <c r="K9" s="549"/>
      <c r="L9" s="1676"/>
      <c r="M9" s="1676"/>
      <c r="R9" s="1676"/>
      <c r="U9" s="550"/>
      <c r="AA9" s="1672"/>
      <c r="AB9" s="1672"/>
      <c r="AC9" s="1672"/>
      <c r="AD9" s="1672"/>
      <c r="AE9" s="1672"/>
    </row>
    <row customHeight="1" ht="11.25" hidden="1"/>
    <row customHeight="1" ht="18.75" hidden="1">
      <c r="D11" s="1678"/>
      <c r="E11" s="552"/>
      <c r="F11" s="546"/>
      <c r="G11" s="1686" t="s">
        <v>549</v>
      </c>
      <c r="H11" s="547"/>
      <c r="I11" s="547"/>
      <c r="J11" s="277" t="s">
        <v>550</v>
      </c>
      <c r="K11" s="549"/>
    </row>
    <row customHeight="1" ht="11.25" hidden="1"/>
    <row customHeight="1" ht="22.5" hidden="1">
      <c r="D13" s="1678"/>
      <c r="E13" s="552"/>
      <c r="F13" s="546"/>
      <c r="G13" s="976" t="s">
        <v>551</v>
      </c>
      <c r="H13" s="551"/>
      <c r="I13" s="551"/>
      <c r="J13" s="751" t="s">
        <v>552</v>
      </c>
      <c r="K13" s="549"/>
    </row>
    <row customHeight="1" ht="11.25" hidden="1"/>
    <row customHeight="1" ht="22.5" hidden="1">
      <c r="D15" s="1678"/>
      <c r="E15" s="552"/>
      <c r="F15" s="546"/>
      <c r="G15" s="1686" t="s">
        <v>553</v>
      </c>
      <c r="H15" s="551"/>
      <c r="I15" s="551"/>
      <c r="J15" s="277" t="s">
        <v>554</v>
      </c>
      <c r="K15" s="549"/>
    </row>
    <row customHeight="1" ht="11.25" hidden="1"/>
    <row customHeight="1" ht="22.5" hidden="1">
      <c r="D17" s="1678"/>
      <c r="E17" s="552"/>
      <c r="F17" s="546"/>
      <c r="G17" s="1686" t="s">
        <v>555</v>
      </c>
      <c r="H17" s="551"/>
      <c r="I17" s="551"/>
      <c r="J17" s="277" t="s">
        <v>556</v>
      </c>
      <c r="K17" s="549"/>
    </row>
    <row customHeight="1" ht="11.25" hidden="1"/>
    <row s="2983"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МУП "Водоканал"</v>
      </c>
      <c r="F22" s="2141"/>
      <c r="G22" s="2141"/>
      <c r="H22" s="2141"/>
      <c r="I22" s="2141"/>
    </row>
    <row customHeight="1" ht="11.25">
      <c r="E23" s="1143"/>
      <c r="F23" s="1143"/>
      <c r="G23" s="1143"/>
      <c r="H23" s="1143"/>
      <c r="I23" s="1143"/>
    </row>
    <row s="4607"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557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86</v>
      </c>
      <c r="F29" s="1693" t="s">
        <v>292</v>
      </c>
      <c r="G29" s="1693" t="s">
        <v>559</v>
      </c>
      <c r="H29" s="1693" t="s">
        <v>293</v>
      </c>
      <c r="I29" s="1693" t="s">
        <v>293</v>
      </c>
      <c r="J29" s="1971"/>
    </row>
    <row customHeight="1" ht="18.75">
      <c r="D30" s="1678"/>
      <c r="E30" s="552">
        <f>FHD_NUM_P_1</f>
        <v>1</v>
      </c>
      <c r="F30" s="1923" t="str">
        <f>FHD_P_1</f>
        <v>Выручка от регулируемых видов деятельности в сфере водоотведения</v>
      </c>
      <c r="G30" s="1921" t="s">
        <v>545</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545</v>
      </c>
      <c r="H31" s="564">
        <f>SUMIF($K33:$K71,$K31,H33:H71)</f>
        <v>0</v>
      </c>
      <c r="I31" s="564">
        <f>SUMIF($K33:$K71,$K31,I33:I71)</f>
        <v>0</v>
      </c>
      <c r="J31" s="277" t="str">
        <f>FHD_NOTE_P_2</f>
        <v>Указывается суммарная себестоимость производимых товаров.</v>
      </c>
      <c r="K31" s="1676" t="s">
        <v>560</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545</v>
      </c>
      <c r="H32" s="563"/>
      <c r="I32" s="563"/>
      <c r="J32" s="277" t="str">
        <f>FHD_NOTE_P_3</f>
        <v/>
      </c>
      <c r="K32" s="1676" t="str">
        <f>IF((LEN(E32)-LEN(SUBSTITUTE(E32,".","")))/LEN(".")=1,"p","")</f>
        <v>p</v>
      </c>
    </row>
    <row customHeight="1" ht="11.25" hidden="1">
      <c r="A33" s="2210" t="s">
        <v>561</v>
      </c>
      <c r="D33" s="1678"/>
      <c r="E33" s="552" t="str">
        <f>FHD_NUM_P_4</f>
        <v/>
      </c>
      <c r="F33" s="1554" t="str">
        <f>FHD_P_4</f>
        <v/>
      </c>
      <c r="G33" s="1921" t="s">
        <v>545</v>
      </c>
      <c r="H33" s="564">
        <f>SUMIF($F34:$F40,$F3,H34:H40)</f>
        <v>0</v>
      </c>
      <c r="I33" s="564">
        <f>SUMIF($F34:$F40,$F3,I34:I40)</f>
        <v>0</v>
      </c>
      <c r="J33" s="277" t="str">
        <f>FHD_NOTE_P_4</f>
        <v/>
      </c>
      <c r="K33" s="1676" t="str">
        <f>IF((LEN(E33)-LEN(SUBSTITUTE(E33,".","")))/LEN(".")=1,"p","")</f>
        <v/>
      </c>
    </row>
    <row s="4643"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643"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643"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643"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643"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643"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27" customFormat="1" customHeight="1" ht="15" hidden="1">
      <c r="A40" s="2210"/>
      <c r="C40" s="1676"/>
      <c r="D40" s="1673"/>
      <c r="E40" s="576"/>
      <c r="F40" s="577" t="s">
        <v>562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563</v>
      </c>
      <c r="D41" s="1678"/>
      <c r="E41" s="552" t="str">
        <f>FHD_NUM_P_5</f>
        <v/>
      </c>
      <c r="F41" s="1554" t="str">
        <f>FHD_P_5</f>
        <v/>
      </c>
      <c r="G41" s="1921" t="s">
        <v>545</v>
      </c>
      <c r="H41" s="563"/>
      <c r="I41" s="563"/>
      <c r="J41" s="277" t="str">
        <f>FHD_NOTE_P_5</f>
        <v/>
      </c>
      <c r="K41" s="1676" t="str">
        <f>IF((LEN(E41)-LEN(SUBSTITUTE(E41,".","")))/LEN(".")=1,"p","")</f>
        <v/>
      </c>
    </row>
    <row customHeight="1" ht="11.25" hidden="1">
      <c r="A42" s="2210"/>
      <c r="D42" s="1678"/>
      <c r="E42" s="552" t="str">
        <f>FHD_NUM_P_6</f>
        <v/>
      </c>
      <c r="F42" s="1554" t="str">
        <f>FHD_P_6</f>
        <v/>
      </c>
      <c r="G42" s="1921" t="s">
        <v>545</v>
      </c>
      <c r="H42" s="563"/>
      <c r="I42" s="563"/>
      <c r="J42" s="277" t="str">
        <f>FHD_NOTE_P_6</f>
        <v/>
      </c>
      <c r="K42" s="1676" t="str">
        <f>IF((LEN(E42)-LEN(SUBSTITUTE(E42,".","")))/LEN(".")=1,"p","")</f>
        <v/>
      </c>
    </row>
    <row customHeight="1" ht="11.25" hidden="1">
      <c r="A43" s="2210"/>
      <c r="D43" s="1678"/>
      <c r="E43" s="552" t="str">
        <f>FHD_NUM_P_7</f>
        <v/>
      </c>
      <c r="F43" s="1554" t="str">
        <f>FHD_P_7</f>
        <v/>
      </c>
      <c r="G43" s="1921" t="s">
        <v>545</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545</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564</v>
      </c>
      <c r="H45" s="563"/>
      <c r="I45" s="563"/>
      <c r="J45" s="277" t="str">
        <f>FHD_NOTE_P_9</f>
        <v/>
      </c>
      <c r="K45" s="1676" t="str">
        <f>IF((LEN(E45)-LEN(SUBSTITUTE(E45,".","")))/LEN(".")=1,"p","")</f>
        <v/>
      </c>
    </row>
    <row s="3327" customFormat="1" customHeight="1" ht="11.25">
      <c r="A46" s="994"/>
      <c r="C46" s="1676"/>
      <c r="D46" s="580"/>
      <c r="E46" s="552" t="str">
        <f>FHD_NUM_P_10</f>
        <v>2.2.2</v>
      </c>
      <c r="F46" s="1690" t="str">
        <f>FHD_P_10</f>
        <v>Объём приобретения электрической энергии</v>
      </c>
      <c r="G46" s="1921" t="s">
        <v>565</v>
      </c>
      <c r="H46" s="563"/>
      <c r="I46" s="563"/>
      <c r="J46" s="277" t="str">
        <f>FHD_NOTE_P_10</f>
        <v/>
      </c>
      <c r="K46" s="1676" t="str">
        <f>IF((LEN(E46)-LEN(SUBSTITUTE(E46,".","")))/LEN(".")=1,"p","")</f>
        <v/>
      </c>
      <c r="L46" s="1676"/>
      <c r="M46" s="1676"/>
      <c r="R46" s="1676"/>
      <c r="U46" s="550"/>
      <c r="AA46" s="1672"/>
      <c r="AB46" s="1672"/>
      <c r="AC46" s="1672"/>
      <c r="AD46" s="1672"/>
      <c r="AE46" s="1672"/>
    </row>
    <row s="3327" customFormat="1" customHeight="1" ht="11.25" hidden="1">
      <c r="A47" s="996" t="s">
        <v>566</v>
      </c>
      <c r="C47" s="1676"/>
      <c r="D47" s="581"/>
      <c r="E47" s="552" t="str">
        <f>FHD_NUM_P_11</f>
        <v/>
      </c>
      <c r="F47" s="1554" t="str">
        <f>FHD_P_11</f>
        <v/>
      </c>
      <c r="G47" s="1921" t="s">
        <v>545</v>
      </c>
      <c r="H47" s="563"/>
      <c r="I47" s="563"/>
      <c r="J47" s="277" t="str">
        <f>FHD_NOTE_P_11</f>
        <v/>
      </c>
      <c r="K47" s="1676" t="str">
        <f>IF((LEN(E47)-LEN(SUBSTITUTE(E47,".","")))/LEN(".")=1,"p","")</f>
        <v/>
      </c>
      <c r="L47" s="1676"/>
      <c r="M47" s="1676"/>
      <c r="R47" s="1676"/>
      <c r="U47" s="550"/>
      <c r="AA47" s="1672"/>
      <c r="AB47" s="1672"/>
      <c r="AC47" s="1672"/>
      <c r="AD47" s="1672"/>
      <c r="AE47" s="1672"/>
    </row>
    <row s="3327" customFormat="1" customHeight="1" ht="18">
      <c r="A48" s="996" t="s">
        <v>567</v>
      </c>
      <c r="C48" s="1676"/>
      <c r="D48" s="1678"/>
      <c r="E48" s="552" t="str">
        <f>FHD_NUM_P_12</f>
        <v>2.3</v>
      </c>
      <c r="F48" s="1554" t="str">
        <f>FHD_P_12</f>
        <v>Расходы на химические реагенты, используемые в технологическом процессе</v>
      </c>
      <c r="G48" s="1921" t="s">
        <v>545</v>
      </c>
      <c r="H48" s="583"/>
      <c r="I48" s="583"/>
      <c r="J48" s="277" t="str">
        <f>FHD_NOTE_P_12</f>
        <v/>
      </c>
      <c r="K48" s="1676" t="str">
        <f>IF((LEN(E48)-LEN(SUBSTITUTE(E48,".","")))/LEN(".")=1,"p","")</f>
        <v>p</v>
      </c>
      <c r="L48" s="1676"/>
      <c r="M48" s="1676"/>
      <c r="R48" s="1676"/>
      <c r="U48" s="550"/>
      <c r="AA48" s="1672"/>
      <c r="AB48" s="1672"/>
      <c r="AC48" s="1672"/>
      <c r="AD48" s="1672"/>
      <c r="AE48" s="1672"/>
    </row>
    <row s="3332"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545</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2"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545</v>
      </c>
      <c r="H50" s="563"/>
      <c r="I50" s="563"/>
      <c r="J50" s="277" t="str">
        <f>FHD_NOTE_P_14</f>
        <v/>
      </c>
      <c r="K50" s="1676" t="str">
        <f>IF((LEN(E50)-LEN(SUBSTITUTE(E50,".","")))/LEN(".")=1,"p","")</f>
        <v/>
      </c>
      <c r="L50" s="736"/>
      <c r="M50" s="736"/>
      <c r="R50" s="736"/>
      <c r="U50" s="737"/>
      <c r="AA50" s="738"/>
      <c r="AB50" s="738"/>
      <c r="AC50" s="738"/>
      <c r="AD50" s="738"/>
      <c r="AE50" s="738"/>
    </row>
    <row s="3332"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545</v>
      </c>
      <c r="H51" s="563"/>
      <c r="I51" s="563"/>
      <c r="J51" s="277" t="str">
        <f>FHD_NOTE_P_15</f>
        <v/>
      </c>
      <c r="K51" s="1676" t="str">
        <f>IF((LEN(E51)-LEN(SUBSTITUTE(E51,".","")))/LEN(".")=1,"p","")</f>
        <v/>
      </c>
      <c r="L51" s="736"/>
      <c r="M51" s="736"/>
      <c r="R51" s="736"/>
      <c r="U51" s="737"/>
      <c r="AA51" s="738"/>
      <c r="AB51" s="738"/>
      <c r="AC51" s="738"/>
      <c r="AD51" s="738"/>
      <c r="AE51" s="738"/>
    </row>
    <row s="3327"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545</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327"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545</v>
      </c>
      <c r="H53" s="563"/>
      <c r="I53" s="563"/>
      <c r="J53" s="277" t="str">
        <f>FHD_NOTE_P_17</f>
        <v/>
      </c>
      <c r="K53" s="1676" t="str">
        <f>IF((LEN(E53)-LEN(SUBSTITUTE(E53,".","")))/LEN(".")=1,"p","")</f>
        <v/>
      </c>
      <c r="L53" s="1676"/>
      <c r="M53" s="1682"/>
      <c r="N53" s="543"/>
      <c r="O53" s="543"/>
      <c r="R53" s="1676"/>
      <c r="U53" s="550"/>
      <c r="AA53" s="1672"/>
      <c r="AB53" s="1672"/>
      <c r="AC53" s="1672"/>
      <c r="AD53" s="1672"/>
      <c r="AE53" s="1672"/>
    </row>
    <row s="3327"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545</v>
      </c>
      <c r="H54" s="563"/>
      <c r="I54" s="563"/>
      <c r="J54" s="277" t="str">
        <f>FHD_NOTE_P_18</f>
        <v/>
      </c>
      <c r="K54" s="1676" t="str">
        <f>IF((LEN(E54)-LEN(SUBSTITUTE(E54,".","")))/LEN(".")=1,"p","")</f>
        <v/>
      </c>
      <c r="L54" s="1676"/>
      <c r="M54" s="1682"/>
      <c r="N54" s="543"/>
      <c r="O54" s="543"/>
      <c r="R54" s="1676"/>
      <c r="U54" s="550"/>
      <c r="AA54" s="1672"/>
      <c r="AB54" s="1672"/>
      <c r="AC54" s="1672"/>
      <c r="AD54" s="1672"/>
      <c r="AE54" s="1672"/>
    </row>
    <row s="3327"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545</v>
      </c>
      <c r="H55" s="563"/>
      <c r="I55" s="563"/>
      <c r="J55" s="277" t="str">
        <f>FHD_NOTE_P_19</f>
        <v/>
      </c>
      <c r="K55" s="1676" t="str">
        <f>IF((LEN(E55)-LEN(SUBSTITUTE(E55,".","")))/LEN(".")=1,"p","")</f>
        <v>p</v>
      </c>
      <c r="L55" s="1676"/>
      <c r="M55" s="1676"/>
      <c r="R55" s="1676"/>
      <c r="U55" s="550"/>
      <c r="AA55" s="1672"/>
      <c r="AB55" s="1672"/>
      <c r="AC55" s="1672"/>
      <c r="AD55" s="1672"/>
      <c r="AE55" s="1672"/>
    </row>
    <row s="3327" customFormat="1" customHeight="1" ht="11.25">
      <c r="A56" s="994"/>
      <c r="C56" s="1676"/>
      <c r="D56" s="581"/>
      <c r="E56" s="552" t="str">
        <f>FHD_NUM_P_20</f>
        <v>2.6.1</v>
      </c>
      <c r="F56" s="1690" t="str">
        <f>FHD_P_20</f>
        <v>Расходы на амортизацию основных средств</v>
      </c>
      <c r="G56" s="1921" t="s">
        <v>545</v>
      </c>
      <c r="H56" s="563"/>
      <c r="I56" s="563"/>
      <c r="J56" s="277" t="str">
        <f>FHD_NOTE_P_20</f>
        <v/>
      </c>
      <c r="K56" s="1676" t="str">
        <f>IF((LEN(E56)-LEN(SUBSTITUTE(E56,".","")))/LEN(".")=1,"p","")</f>
        <v/>
      </c>
      <c r="L56" s="1676"/>
      <c r="M56" s="1676"/>
      <c r="R56" s="1676"/>
      <c r="U56" s="550"/>
      <c r="AA56" s="1672"/>
      <c r="AB56" s="1672"/>
      <c r="AC56" s="1672"/>
      <c r="AD56" s="1672"/>
      <c r="AE56" s="1672"/>
    </row>
    <row s="3327" customFormat="1" customHeight="1" ht="11.25">
      <c r="A57" s="994"/>
      <c r="C57" s="1676"/>
      <c r="D57" s="581"/>
      <c r="E57" s="552" t="str">
        <f>FHD_NUM_P_21</f>
        <v>2.6.2</v>
      </c>
      <c r="F57" s="1690" t="str">
        <f>FHD_P_21</f>
        <v>Расходы на амортизацию нематериальных активов</v>
      </c>
      <c r="G57" s="1921" t="s">
        <v>545</v>
      </c>
      <c r="H57" s="563"/>
      <c r="I57" s="563"/>
      <c r="J57" s="277" t="str">
        <f>FHD_NOTE_P_21</f>
        <v/>
      </c>
      <c r="K57" s="1676" t="str">
        <f>IF((LEN(E57)-LEN(SUBSTITUTE(E57,".","")))/LEN(".")=1,"p","")</f>
        <v/>
      </c>
      <c r="L57" s="1676"/>
      <c r="M57" s="1676"/>
      <c r="R57" s="1676"/>
      <c r="U57" s="550"/>
      <c r="AA57" s="1672"/>
      <c r="AB57" s="1672"/>
      <c r="AC57" s="1672"/>
      <c r="AD57" s="1672"/>
      <c r="AE57" s="1672"/>
    </row>
    <row s="3327"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545</v>
      </c>
      <c r="H58" s="563"/>
      <c r="I58" s="563"/>
      <c r="J58" s="277" t="str">
        <f>FHD_NOTE_P_22</f>
        <v/>
      </c>
      <c r="K58" s="1676" t="str">
        <f>IF((LEN(E58)-LEN(SUBSTITUTE(E58,".","")))/LEN(".")=1,"p","")</f>
        <v>p</v>
      </c>
      <c r="L58" s="1676"/>
      <c r="M58" s="1676"/>
      <c r="R58" s="1676"/>
      <c r="U58" s="550"/>
      <c r="AA58" s="1672"/>
      <c r="AB58" s="1672"/>
      <c r="AC58" s="1672"/>
      <c r="AD58" s="1672"/>
      <c r="AE58" s="1672"/>
    </row>
    <row s="3327" customFormat="1" customHeight="1" ht="11.25">
      <c r="A59" s="994"/>
      <c r="C59" s="1676"/>
      <c r="D59" s="581"/>
      <c r="E59" s="552" t="str">
        <f>FHD_NUM_P_23</f>
        <v>2.8</v>
      </c>
      <c r="F59" s="1554" t="str">
        <f>FHD_P_23</f>
        <v>Общепроизводственные расходы, в том числе:</v>
      </c>
      <c r="G59" s="1921" t="s">
        <v>545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27" customFormat="1" customHeight="1" ht="11.25">
      <c r="A60" s="994"/>
      <c r="C60" s="1676"/>
      <c r="D60" s="581"/>
      <c r="E60" s="552" t="str">
        <f>FHD_NUM_P_24</f>
        <v>2.8.1</v>
      </c>
      <c r="F60" s="1690" t="str">
        <f>FHD_P_24</f>
        <v>Расходы на текущий ремонт</v>
      </c>
      <c r="G60" s="1921" t="s">
        <v>545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27" customFormat="1" customHeight="1" ht="11.25">
      <c r="A61" s="994"/>
      <c r="C61" s="1676"/>
      <c r="D61" s="581"/>
      <c r="E61" s="552" t="str">
        <f>FHD_NUM_P_25</f>
        <v>2.8.2</v>
      </c>
      <c r="F61" s="1690" t="str">
        <f>FHD_P_25</f>
        <v>Расходы на капитальный ремонт</v>
      </c>
      <c r="G61" s="1921" t="s">
        <v>545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27" customFormat="1" customHeight="1" ht="11.25">
      <c r="A62" s="994"/>
      <c r="C62" s="1676"/>
      <c r="D62" s="1678"/>
      <c r="E62" s="552" t="str">
        <f>FHD_NUM_P_26</f>
        <v>2.9</v>
      </c>
      <c r="F62" s="1554" t="str">
        <f>FHD_P_26</f>
        <v>Общехозяйственные расходы, в том числе:</v>
      </c>
      <c r="G62" s="1921" t="s">
        <v>545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27" customFormat="1" customHeight="1" ht="11.25">
      <c r="A63" s="994"/>
      <c r="C63" s="1676"/>
      <c r="D63" s="1678"/>
      <c r="E63" s="552" t="str">
        <f>FHD_NUM_P_27</f>
        <v>2.9.1</v>
      </c>
      <c r="F63" s="1690" t="str">
        <f>FHD_P_27</f>
        <v>Расходы на текущий ремонт</v>
      </c>
      <c r="G63" s="1921" t="s">
        <v>545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27" customFormat="1" customHeight="1" ht="11.25">
      <c r="A64" s="994"/>
      <c r="C64" s="1676"/>
      <c r="D64" s="1678"/>
      <c r="E64" s="552" t="str">
        <f>FHD_NUM_P_28</f>
        <v>2.9.2</v>
      </c>
      <c r="F64" s="1690" t="str">
        <f>FHD_P_28</f>
        <v>Расходы на капитальный ремонт</v>
      </c>
      <c r="G64" s="1921" t="s">
        <v>545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27" customFormat="1" customHeight="1" ht="11.25">
      <c r="A65" s="994"/>
      <c r="C65" s="1676"/>
      <c r="D65" s="1678"/>
      <c r="E65" s="552" t="str">
        <f>FHD_NUM_P_29</f>
        <v>2.10</v>
      </c>
      <c r="F65" s="1554" t="str">
        <f>FHD_P_29</f>
        <v>Расходы на капитальный и текущий ремонт основных средств</v>
      </c>
      <c r="G65" s="1921" t="s">
        <v>545</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27"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568</v>
      </c>
      <c r="I66" s="1689" t="s">
        <v>568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27" customFormat="1" customHeight="1" ht="22.5">
      <c r="A67" s="2210" t="s">
        <v>569</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545</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327"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296</v>
      </c>
      <c r="H68" s="1689" t="s">
        <v>568</v>
      </c>
      <c r="I68" s="1689" t="s">
        <v>568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27"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545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4607" customFormat="1" customHeight="1" ht="0.75">
      <c r="A70" s="1175"/>
      <c r="D70" s="554"/>
      <c r="E70" s="1020" t="str">
        <f>E69&amp;".0"</f>
        <v>2.12.0</v>
      </c>
      <c r="F70" s="998"/>
      <c r="G70" s="1020"/>
      <c r="H70" s="999"/>
      <c r="I70" s="999"/>
      <c r="J70" s="1000"/>
      <c r="K70" s="1676" t="str">
        <f>IF((LEN(E70)-LEN(SUBSTITUTE(E70,".","")))/LEN(".")=1,"p","")</f>
        <v/>
      </c>
    </row>
    <row s="3327" customFormat="1" customHeight="1" ht="14.25">
      <c r="A71" s="994"/>
      <c r="C71" s="1676"/>
      <c r="D71" s="1673"/>
      <c r="E71" s="576"/>
      <c r="F71" s="577" t="s">
        <v>570</v>
      </c>
      <c r="G71" s="578"/>
      <c r="H71" s="579"/>
      <c r="I71" s="579"/>
      <c r="J71" s="289"/>
      <c r="K71" s="1676"/>
      <c r="L71" s="1676"/>
      <c r="M71" s="1676"/>
      <c r="R71" s="1676"/>
      <c r="U71" s="550"/>
      <c r="AA71" s="1672"/>
      <c r="AB71" s="1672"/>
      <c r="AC71" s="1672"/>
      <c r="AD71" s="1672"/>
      <c r="AE71" s="1672"/>
    </row>
    <row s="3327" customFormat="1" customHeight="1" ht="18.75" hidden="1">
      <c r="A72" s="996" t="s">
        <v>571</v>
      </c>
      <c r="C72" s="1676"/>
      <c r="D72" s="1678"/>
      <c r="E72" s="552" t="str">
        <f>FHD_NUM_P_34</f>
        <v/>
      </c>
      <c r="F72" s="1923" t="str">
        <f>FHD_P_34</f>
        <v/>
      </c>
      <c r="G72" s="1921" t="s">
        <v>545</v>
      </c>
      <c r="H72" s="563"/>
      <c r="I72" s="563"/>
      <c r="J72" s="277" t="str">
        <f>FHD_NOTE_P_34</f>
        <v/>
      </c>
      <c r="K72" s="549"/>
      <c r="L72" s="1676"/>
      <c r="M72" s="1676"/>
      <c r="R72" s="1676"/>
      <c r="U72" s="550"/>
      <c r="AA72" s="1672"/>
      <c r="AB72" s="1672"/>
      <c r="AC72" s="1672"/>
      <c r="AD72" s="1672"/>
      <c r="AE72" s="1672"/>
    </row>
    <row s="3327"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545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27"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545</v>
      </c>
      <c r="H74" s="563"/>
      <c r="I74" s="563"/>
      <c r="J74" s="277" t="str">
        <f>FHD_NOTE_P_36</f>
        <v/>
      </c>
      <c r="K74" s="549"/>
      <c r="L74" s="1676"/>
      <c r="M74" s="1676"/>
      <c r="R74" s="1676"/>
      <c r="U74" s="550"/>
      <c r="AA74" s="1672"/>
      <c r="AB74" s="1672"/>
      <c r="AC74" s="1672"/>
      <c r="AD74" s="1672"/>
      <c r="AE74" s="1672"/>
    </row>
    <row s="3327" customFormat="1" customHeight="1" ht="18.75">
      <c r="A75" s="994"/>
      <c r="C75" s="1676"/>
      <c r="D75" s="1678"/>
      <c r="E75" s="552" t="str">
        <f>FHD_NUM_P_37</f>
        <v>4</v>
      </c>
      <c r="F75" s="1923" t="str">
        <f>FHD_P_37</f>
        <v>Изменение стоимости основных фондов, в том числе:</v>
      </c>
      <c r="G75" s="1921" t="s">
        <v>545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27"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545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27"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545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27"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545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27" customFormat="1" customHeight="1" ht="18.75">
      <c r="A79" s="994"/>
      <c r="C79" s="1676"/>
      <c r="D79" s="1678"/>
      <c r="E79" s="552" t="str">
        <f>FHD_NUM_P_41</f>
        <v>4.2</v>
      </c>
      <c r="F79" s="1554" t="str">
        <f>FHD_P_41</f>
        <v>Изменение стоимости основных фондов за счет их переоценки</v>
      </c>
      <c r="G79" s="1922" t="s">
        <v>545</v>
      </c>
      <c r="H79" s="563"/>
      <c r="I79" s="563"/>
      <c r="J79" s="277" t="str">
        <f>FHD_NOTE_P_41</f>
        <v/>
      </c>
      <c r="K79" s="549"/>
      <c r="L79" s="1676"/>
      <c r="M79" s="1676"/>
      <c r="R79" s="1676"/>
      <c r="U79" s="550"/>
      <c r="AA79" s="1672"/>
      <c r="AB79" s="1672"/>
      <c r="AC79" s="1672"/>
      <c r="AD79" s="1672"/>
      <c r="AE79" s="1672"/>
    </row>
    <row s="3327" customFormat="1" customHeight="1" ht="18.75">
      <c r="A80" s="996" t="s">
        <v>572</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545</v>
      </c>
      <c r="H80" s="983"/>
      <c r="I80" s="563"/>
      <c r="J80" s="277" t="str">
        <f>FHD_NOTE_P_42</f>
        <v/>
      </c>
      <c r="K80" s="549"/>
      <c r="L80" s="1676"/>
      <c r="M80" s="1676"/>
      <c r="R80" s="1676"/>
      <c r="U80" s="550"/>
      <c r="AA80" s="1672"/>
      <c r="AB80" s="1672"/>
      <c r="AC80" s="1672"/>
      <c r="AD80" s="1672"/>
      <c r="AE80" s="1672"/>
    </row>
    <row s="3327"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678" customFormat="1" customHeight="1" ht="18.75" hidden="1">
      <c r="A82" s="2210" t="s">
        <v>573</v>
      </c>
      <c r="C82" s="741"/>
      <c r="D82" s="739"/>
      <c r="E82" s="552" t="str">
        <f>FHD_NUM_P_44</f>
        <v/>
      </c>
      <c r="F82" s="1923" t="str">
        <f>FHD_P_44</f>
        <v/>
      </c>
      <c r="G82" s="1924" t="s">
        <v>574</v>
      </c>
      <c r="H82" s="984"/>
      <c r="I82" s="583"/>
      <c r="J82" s="277" t="str">
        <f>FHD_NOTE_P_44</f>
        <v/>
      </c>
      <c r="K82" s="740"/>
      <c r="L82" s="741"/>
      <c r="M82" s="741"/>
      <c r="R82" s="741"/>
      <c r="U82" s="742"/>
      <c r="AA82" s="743"/>
      <c r="AB82" s="743"/>
      <c r="AC82" s="743"/>
      <c r="AD82" s="743"/>
      <c r="AE82" s="743"/>
    </row>
    <row s="4678" customFormat="1" customHeight="1" ht="18.75" hidden="1">
      <c r="A83" s="2210"/>
      <c r="C83" s="741"/>
      <c r="D83" s="739"/>
      <c r="E83" s="552" t="str">
        <f>FHD_NUM_P_45</f>
        <v/>
      </c>
      <c r="F83" s="1923" t="str">
        <f>FHD_P_45</f>
        <v/>
      </c>
      <c r="G83" s="1924" t="s">
        <v>574</v>
      </c>
      <c r="H83" s="984"/>
      <c r="I83" s="583"/>
      <c r="J83" s="277" t="str">
        <f>FHD_NOTE_P_45</f>
        <v/>
      </c>
      <c r="K83" s="740"/>
      <c r="L83" s="741"/>
      <c r="M83" s="741"/>
      <c r="R83" s="741"/>
      <c r="U83" s="742"/>
      <c r="AA83" s="743"/>
      <c r="AB83" s="743"/>
      <c r="AC83" s="743"/>
      <c r="AD83" s="743"/>
      <c r="AE83" s="743"/>
    </row>
    <row s="4678" customFormat="1" customHeight="1" ht="18.75" hidden="1">
      <c r="A84" s="2210"/>
      <c r="C84" s="741"/>
      <c r="D84" s="744"/>
      <c r="E84" s="552" t="str">
        <f>FHD_NUM_P_46</f>
        <v/>
      </c>
      <c r="F84" s="1923" t="str">
        <f>FHD_P_46</f>
        <v/>
      </c>
      <c r="G84" s="1924" t="s">
        <v>574</v>
      </c>
      <c r="H84" s="984"/>
      <c r="I84" s="583"/>
      <c r="J84" s="277" t="str">
        <f>FHD_NOTE_P_46</f>
        <v/>
      </c>
      <c r="K84" s="740"/>
      <c r="L84" s="741"/>
      <c r="M84" s="741"/>
      <c r="R84" s="741"/>
      <c r="U84" s="742"/>
      <c r="AA84" s="743"/>
      <c r="AB84" s="743"/>
      <c r="AC84" s="743"/>
      <c r="AD84" s="743"/>
      <c r="AE84" s="743"/>
    </row>
    <row s="4678" customFormat="1" customHeight="1" ht="18.75" hidden="1">
      <c r="A85" s="2210"/>
      <c r="C85" s="741"/>
      <c r="D85" s="739"/>
      <c r="E85" s="552" t="str">
        <f>FHD_NUM_P_47</f>
        <v/>
      </c>
      <c r="F85" s="1923" t="str">
        <f>FHD_P_47</f>
        <v/>
      </c>
      <c r="G85" s="1924" t="s">
        <v>574</v>
      </c>
      <c r="H85" s="984"/>
      <c r="I85" s="583"/>
      <c r="J85" s="277" t="str">
        <f>FHD_NOTE_P_47</f>
        <v/>
      </c>
      <c r="K85" s="740"/>
      <c r="L85" s="741"/>
      <c r="M85" s="741"/>
      <c r="R85" s="741"/>
      <c r="U85" s="742"/>
      <c r="AA85" s="743"/>
      <c r="AB85" s="743"/>
      <c r="AC85" s="743"/>
      <c r="AD85" s="743"/>
      <c r="AE85" s="743"/>
    </row>
    <row s="4687" customFormat="1" customHeight="1" ht="18.75" hidden="1">
      <c r="A86" s="2210"/>
      <c r="B86" s="916"/>
      <c r="C86" s="741"/>
      <c r="D86" s="739"/>
      <c r="E86" s="552" t="str">
        <f>FHD_NUM_P_48</f>
        <v/>
      </c>
      <c r="F86" s="1923" t="str">
        <f>FHD_P_48</f>
        <v/>
      </c>
      <c r="G86" s="1924" t="s">
        <v>574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687" customFormat="1" customHeight="1" ht="18.75" hidden="1">
      <c r="A87" s="2210"/>
      <c r="B87" s="916"/>
      <c r="C87" s="741"/>
      <c r="D87" s="739"/>
      <c r="E87" s="552" t="str">
        <f>FHD_NUM_P_49</f>
        <v/>
      </c>
      <c r="F87" s="1923" t="str">
        <f>FHD_P_49</f>
        <v/>
      </c>
      <c r="G87" s="1924" t="s">
        <v>574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687" customFormat="1" customHeight="1" ht="18.75" hidden="1">
      <c r="A88" s="2210"/>
      <c r="B88" s="916"/>
      <c r="C88" s="741"/>
      <c r="D88" s="739"/>
      <c r="E88" s="552" t="str">
        <f>FHD_NUM_P_50</f>
        <v/>
      </c>
      <c r="F88" s="1923" t="str">
        <f>FHD_P_50</f>
        <v/>
      </c>
      <c r="G88" s="1924" t="s">
        <v>574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687" customFormat="1" customHeight="1" ht="18.75" hidden="1">
      <c r="A89" s="2210"/>
      <c r="B89" s="916"/>
      <c r="C89" s="741"/>
      <c r="D89" s="739"/>
      <c r="E89" s="552" t="str">
        <f>FHD_NUM_P_51</f>
        <v/>
      </c>
      <c r="F89" s="1923" t="str">
        <f>FHD_P_51</f>
        <v/>
      </c>
      <c r="G89" s="1924" t="s">
        <v>574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687" customFormat="1" customHeight="1" ht="18.75" hidden="1">
      <c r="A90" s="2210"/>
      <c r="B90" s="916"/>
      <c r="C90" s="741"/>
      <c r="D90" s="739"/>
      <c r="E90" s="552" t="str">
        <f>FHD_NUM_P_52</f>
        <v/>
      </c>
      <c r="F90" s="1923" t="str">
        <f>FHD_P_52</f>
        <v/>
      </c>
      <c r="G90" s="1924" t="s">
        <v>551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678" customFormat="1" customHeight="1" ht="18.75" hidden="1">
      <c r="A91" s="2212" t="s">
        <v>575</v>
      </c>
      <c r="C91" s="741"/>
      <c r="D91" s="739"/>
      <c r="E91" s="552" t="str">
        <f>FHD_NUM_P_53</f>
        <v/>
      </c>
      <c r="F91" s="1923" t="str">
        <f>FHD_P_53</f>
        <v/>
      </c>
      <c r="G91" s="1924" t="s">
        <v>574</v>
      </c>
      <c r="H91" s="984"/>
      <c r="I91" s="583"/>
      <c r="J91" s="277" t="str">
        <f>FHD_NOTE_P_53</f>
        <v/>
      </c>
      <c r="K91" s="740"/>
      <c r="L91" s="741"/>
      <c r="M91" s="741"/>
      <c r="R91" s="741"/>
      <c r="U91" s="742"/>
      <c r="AA91" s="743"/>
      <c r="AB91" s="743"/>
      <c r="AC91" s="743"/>
      <c r="AD91" s="743"/>
      <c r="AE91" s="743"/>
    </row>
    <row s="4678" customFormat="1" customHeight="1" ht="18.75" hidden="1">
      <c r="A92" s="2212"/>
      <c r="C92" s="741"/>
      <c r="D92" s="739"/>
      <c r="E92" s="552" t="str">
        <f>FHD_NUM_P_54</f>
        <v/>
      </c>
      <c r="F92" s="1923" t="str">
        <f>FHD_P_54</f>
        <v/>
      </c>
      <c r="G92" s="1924" t="s">
        <v>574</v>
      </c>
      <c r="H92" s="984"/>
      <c r="I92" s="583"/>
      <c r="J92" s="277" t="str">
        <f>FHD_NOTE_P_54</f>
        <v/>
      </c>
      <c r="K92" s="740"/>
      <c r="L92" s="741"/>
      <c r="M92" s="741"/>
      <c r="R92" s="741"/>
      <c r="U92" s="742"/>
      <c r="AA92" s="743"/>
      <c r="AB92" s="743"/>
      <c r="AC92" s="743"/>
      <c r="AD92" s="743"/>
      <c r="AE92" s="743"/>
    </row>
    <row s="467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678" customFormat="1" customHeight="1" ht="18.75" hidden="1">
      <c r="A94" s="2212"/>
      <c r="C94" s="741"/>
      <c r="D94" s="739"/>
      <c r="E94" s="552" t="str">
        <f>FHD_NUM_P_56</f>
        <v/>
      </c>
      <c r="F94" s="1923" t="str">
        <f>FHD_P_56</f>
        <v/>
      </c>
      <c r="G94" s="1924" t="s">
        <v>576</v>
      </c>
      <c r="H94" s="984"/>
      <c r="I94" s="583"/>
      <c r="J94" s="277" t="str">
        <f>FHD_NOTE_P_56</f>
        <v/>
      </c>
      <c r="K94" s="740"/>
      <c r="L94" s="741"/>
      <c r="M94" s="741"/>
      <c r="R94" s="741"/>
      <c r="U94" s="742"/>
      <c r="AA94" s="743"/>
      <c r="AB94" s="743"/>
      <c r="AC94" s="743"/>
      <c r="AD94" s="743"/>
      <c r="AE94" s="743"/>
    </row>
    <row s="4687" customFormat="1" customHeight="1" ht="18.75" hidden="1">
      <c r="A95" s="2212"/>
      <c r="B95" s="916"/>
      <c r="C95" s="741"/>
      <c r="D95" s="739"/>
      <c r="E95" s="552" t="str">
        <f>FHD_NUM_P_57</f>
        <v/>
      </c>
      <c r="F95" s="1923" t="str">
        <f>FHD_P_57</f>
        <v/>
      </c>
      <c r="G95" s="1924" t="s">
        <v>551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577</v>
      </c>
      <c r="D96" s="1678"/>
      <c r="E96" s="552" t="str">
        <f>FHD_NUM_P_58</f>
        <v>7</v>
      </c>
      <c r="F96" s="1923" t="str">
        <f>FHD_P_58</f>
        <v>Объём сточных вод, принятых от потребителей</v>
      </c>
      <c r="G96" s="1924" t="s">
        <v>574</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574</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574</v>
      </c>
      <c r="H98" s="984"/>
      <c r="I98" s="583"/>
      <c r="J98" s="277" t="str">
        <f>FHD_NOTE_P_60</f>
        <v/>
      </c>
      <c r="K98" s="549"/>
    </row>
    <row s="3327" customFormat="1" customHeight="1" ht="18.75" hidden="1">
      <c r="A99" s="2210" t="s">
        <v>578</v>
      </c>
      <c r="C99" s="1676"/>
      <c r="D99" s="1678"/>
      <c r="E99" s="552" t="str">
        <f>FHD_NUM_P_61</f>
        <v/>
      </c>
      <c r="F99" s="1923" t="str">
        <f>FHD_P_61</f>
        <v/>
      </c>
      <c r="G99" s="1921" t="s">
        <v>549</v>
      </c>
      <c r="H99" s="986"/>
      <c r="I99" s="748"/>
      <c r="J99" s="277" t="str">
        <f>FHD_NOTE_P_61</f>
        <v/>
      </c>
      <c r="K99" s="549"/>
      <c r="L99" s="1676"/>
      <c r="M99" s="1676"/>
      <c r="R99" s="1676"/>
      <c r="U99" s="550"/>
      <c r="AA99" s="1672"/>
      <c r="AB99" s="1672"/>
      <c r="AC99" s="1672"/>
      <c r="AD99" s="1672"/>
      <c r="AE99" s="1672"/>
    </row>
    <row s="4607" customFormat="1" customHeight="1" ht="0.75" hidden="1">
      <c r="A100" s="2210"/>
      <c r="D100" s="554"/>
      <c r="E100" s="1020" t="str">
        <f>E99&amp;".0"</f>
        <v>.0</v>
      </c>
      <c r="F100" s="1001"/>
      <c r="G100" s="1002"/>
      <c r="H100" s="999"/>
      <c r="I100" s="999"/>
      <c r="J100" s="1003"/>
    </row>
    <row customHeight="1" ht="15" hidden="1">
      <c r="A101" s="2210"/>
      <c r="D101" s="1673"/>
      <c r="E101" s="978"/>
      <c r="F101" s="979" t="s">
        <v>579</v>
      </c>
      <c r="G101" s="578"/>
      <c r="H101" s="579"/>
      <c r="I101" s="579"/>
      <c r="J101" s="1011" t="s">
        <v>580</v>
      </c>
      <c r="K101" s="549"/>
    </row>
    <row s="3327" customFormat="1" customHeight="1" ht="18.75" hidden="1">
      <c r="A102" s="2210"/>
      <c r="C102" s="1676"/>
      <c r="D102" s="1678"/>
      <c r="E102" s="552" t="str">
        <f>FHD_NUM_P_62</f>
        <v/>
      </c>
      <c r="F102" s="1923" t="str">
        <f>FHD_P_62</f>
        <v/>
      </c>
      <c r="G102" s="1920" t="s">
        <v>549</v>
      </c>
      <c r="H102" s="563"/>
      <c r="I102" s="563"/>
      <c r="J102" s="277" t="str">
        <f>FHD_NOTE_P_62</f>
        <v/>
      </c>
      <c r="K102" s="549"/>
      <c r="L102" s="1676"/>
      <c r="M102" s="1676"/>
      <c r="R102" s="1676"/>
      <c r="U102" s="550"/>
      <c r="AA102" s="1672"/>
      <c r="AB102" s="1672"/>
      <c r="AC102" s="1672"/>
      <c r="AD102" s="1672"/>
      <c r="AE102" s="1672"/>
    </row>
    <row s="3327" customFormat="1" customHeight="1" ht="18.75" hidden="1">
      <c r="A103" s="2210"/>
      <c r="C103" s="1676"/>
      <c r="D103" s="1678"/>
      <c r="E103" s="552" t="str">
        <f>FHD_NUM_P_63</f>
        <v/>
      </c>
      <c r="F103" s="1923" t="str">
        <f>FHD_P_63</f>
        <v/>
      </c>
      <c r="G103" s="1920" t="s">
        <v>576</v>
      </c>
      <c r="H103" s="583"/>
      <c r="I103" s="583"/>
      <c r="J103" s="277" t="str">
        <f>FHD_NOTE_P_63</f>
        <v/>
      </c>
      <c r="K103" s="549"/>
      <c r="L103" s="1676"/>
      <c r="M103" s="1676"/>
      <c r="R103" s="1676"/>
      <c r="U103" s="550"/>
      <c r="AA103" s="1672"/>
      <c r="AB103" s="1672"/>
      <c r="AC103" s="1672"/>
      <c r="AD103" s="1672"/>
      <c r="AE103" s="1672"/>
    </row>
    <row s="3327" customFormat="1" customHeight="1" ht="18.75" hidden="1">
      <c r="A104" s="2210"/>
      <c r="C104" s="1676" t="s">
        <v>581</v>
      </c>
      <c r="D104" s="1678"/>
      <c r="E104" s="552" t="str">
        <f>FHD_NUM_P_64</f>
        <v/>
      </c>
      <c r="F104" s="1923" t="str">
        <f>FHD_P_64</f>
        <v/>
      </c>
      <c r="G104" s="1920" t="s">
        <v>576</v>
      </c>
      <c r="H104" s="551"/>
      <c r="I104" s="551"/>
      <c r="J104" s="277" t="str">
        <f>FHD_NOTE_P_64</f>
        <v/>
      </c>
      <c r="K104" s="549"/>
      <c r="L104" s="1676"/>
      <c r="M104" s="1676"/>
      <c r="R104" s="1676"/>
      <c r="U104" s="550"/>
      <c r="AA104" s="1672"/>
      <c r="AB104" s="1672"/>
      <c r="AC104" s="1672"/>
      <c r="AD104" s="1672"/>
      <c r="AE104" s="1672"/>
    </row>
    <row s="3327" customFormat="1" customHeight="1" ht="18.75" hidden="1">
      <c r="A105" s="2210"/>
      <c r="C105" s="1676"/>
      <c r="D105" s="1678"/>
      <c r="E105" s="552" t="str">
        <f>FHD_NUM_P_65</f>
        <v/>
      </c>
      <c r="F105" s="1923" t="str">
        <f>FHD_P_65</f>
        <v/>
      </c>
      <c r="G105" s="1920" t="s">
        <v>576</v>
      </c>
      <c r="H105" s="583"/>
      <c r="I105" s="583"/>
      <c r="J105" s="277" t="str">
        <f>FHD_NOTE_P_65</f>
        <v/>
      </c>
      <c r="K105" s="549"/>
      <c r="L105" s="1676"/>
      <c r="M105" s="1676"/>
      <c r="R105" s="1676"/>
      <c r="U105" s="550"/>
      <c r="AA105" s="1672"/>
      <c r="AB105" s="1672"/>
      <c r="AC105" s="1672"/>
      <c r="AD105" s="1672"/>
      <c r="AE105" s="1672"/>
    </row>
    <row s="3327" customFormat="1" customHeight="1" ht="18.75" hidden="1">
      <c r="A106" s="2210"/>
      <c r="C106" s="1676"/>
      <c r="D106" s="1678"/>
      <c r="E106" s="552" t="str">
        <f>FHD_NUM_P_66</f>
        <v/>
      </c>
      <c r="F106" s="1554" t="str">
        <f>FHD_P_66</f>
        <v/>
      </c>
      <c r="G106" s="1920" t="s">
        <v>576</v>
      </c>
      <c r="H106" s="583"/>
      <c r="I106" s="583"/>
      <c r="J106" s="277" t="str">
        <f>FHD_NOTE_P_66</f>
        <v/>
      </c>
      <c r="K106" s="549"/>
      <c r="L106" s="1676"/>
      <c r="M106" s="1676"/>
      <c r="R106" s="1676"/>
      <c r="U106" s="550"/>
      <c r="AA106" s="1672"/>
      <c r="AB106" s="1672"/>
      <c r="AC106" s="1672"/>
      <c r="AD106" s="1672"/>
      <c r="AE106" s="1672"/>
    </row>
    <row s="3327" customFormat="1" customHeight="1" ht="18.75" hidden="1">
      <c r="A107" s="2210"/>
      <c r="C107" s="1676"/>
      <c r="D107" s="1678"/>
      <c r="E107" s="552" t="str">
        <f>FHD_NUM_P_67</f>
        <v/>
      </c>
      <c r="F107" s="1690" t="str">
        <f>FHD_P_67</f>
        <v/>
      </c>
      <c r="G107" s="1920" t="s">
        <v>576</v>
      </c>
      <c r="H107" s="583"/>
      <c r="I107" s="583"/>
      <c r="J107" s="277" t="str">
        <f>FHD_NOTE_P_67</f>
        <v/>
      </c>
      <c r="K107" s="549"/>
      <c r="L107" s="1676"/>
      <c r="M107" s="1676"/>
      <c r="R107" s="1676"/>
      <c r="U107" s="550"/>
      <c r="AA107" s="1672"/>
      <c r="AB107" s="1672"/>
      <c r="AC107" s="1672"/>
      <c r="AD107" s="1672"/>
      <c r="AE107" s="1672"/>
    </row>
    <row s="3327" customFormat="1" customHeight="1" ht="18.75" hidden="1">
      <c r="A108" s="2210"/>
      <c r="C108" s="1676"/>
      <c r="D108" s="1678"/>
      <c r="E108" s="552" t="str">
        <f>FHD_NUM_P_68</f>
        <v/>
      </c>
      <c r="F108" s="1554" t="str">
        <f>FHD_P_68</f>
        <v/>
      </c>
      <c r="G108" s="1920" t="s">
        <v>576</v>
      </c>
      <c r="H108" s="583"/>
      <c r="I108" s="583"/>
      <c r="J108" s="277" t="str">
        <f>FHD_NOTE_P_68</f>
        <v/>
      </c>
      <c r="K108" s="549"/>
      <c r="L108" s="1676"/>
      <c r="M108" s="1676"/>
      <c r="R108" s="1676"/>
      <c r="U108" s="550"/>
      <c r="AA108" s="1672"/>
      <c r="AB108" s="1672"/>
      <c r="AC108" s="1672"/>
      <c r="AD108" s="1672"/>
      <c r="AE108" s="1672"/>
    </row>
    <row s="3327" customFormat="1" customHeight="1" ht="18.75" hidden="1">
      <c r="A109" s="2210"/>
      <c r="C109" s="1676"/>
      <c r="D109" s="1678"/>
      <c r="E109" s="552" t="str">
        <f>FHD_NUM_P_69</f>
        <v/>
      </c>
      <c r="F109" s="1554" t="str">
        <f>FHD_P_69</f>
        <v/>
      </c>
      <c r="G109" s="1920" t="s">
        <v>576</v>
      </c>
      <c r="H109" s="583"/>
      <c r="I109" s="583"/>
      <c r="J109" s="277" t="str">
        <f>FHD_NOTE_P_69</f>
        <v/>
      </c>
      <c r="K109" s="549"/>
      <c r="L109" s="1676"/>
      <c r="M109" s="1676"/>
      <c r="R109" s="1676"/>
      <c r="U109" s="550"/>
      <c r="AA109" s="1672"/>
      <c r="AB109" s="1672"/>
      <c r="AC109" s="1672"/>
      <c r="AD109" s="1672"/>
      <c r="AE109" s="1672"/>
    </row>
    <row s="3327" customFormat="1" customHeight="1" ht="22.5" hidden="1">
      <c r="A110" s="2210"/>
      <c r="C110" s="1676"/>
      <c r="D110" s="1678"/>
      <c r="E110" s="552" t="str">
        <f>FHD_NUM_P_70</f>
        <v/>
      </c>
      <c r="F110" s="1923" t="str">
        <f>FHD_P_70</f>
        <v/>
      </c>
      <c r="G110" s="1920" t="s">
        <v>582</v>
      </c>
      <c r="H110" s="563"/>
      <c r="I110" s="563"/>
      <c r="J110" s="277" t="str">
        <f>FHD_NOTE_P_70</f>
        <v/>
      </c>
      <c r="K110" s="549"/>
      <c r="L110" s="1676"/>
      <c r="M110" s="1676"/>
      <c r="R110" s="1676"/>
      <c r="U110" s="550"/>
      <c r="AA110" s="1672"/>
      <c r="AB110" s="1672"/>
      <c r="AC110" s="1672"/>
      <c r="AD110" s="1672"/>
      <c r="AE110" s="1672"/>
    </row>
    <row s="3327" customFormat="1" customHeight="1" ht="22.5" hidden="1">
      <c r="A111" s="2210"/>
      <c r="C111" s="1676"/>
      <c r="D111" s="1678"/>
      <c r="E111" s="552" t="str">
        <f>FHD_NUM_P_71</f>
        <v/>
      </c>
      <c r="F111" s="1923" t="str">
        <f>FHD_P_71</f>
        <v/>
      </c>
      <c r="G111" s="1920" t="s">
        <v>582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583</v>
      </c>
      <c r="H112" s="583"/>
      <c r="I112" s="583"/>
      <c r="J112" s="277" t="str">
        <f>FHD_NOTE_P_72</f>
        <v/>
      </c>
      <c r="K112" s="549"/>
    </row>
    <row customHeight="1" ht="18.75" hidden="1">
      <c r="A113" s="996" t="s">
        <v>584</v>
      </c>
      <c r="D113" s="1678"/>
      <c r="E113" s="552" t="str">
        <f>FHD_NUM_P_73</f>
        <v/>
      </c>
      <c r="F113" s="1923" t="str">
        <f>FHD_P_73</f>
        <v/>
      </c>
      <c r="G113" s="977" t="s">
        <v>583</v>
      </c>
      <c r="H113" s="975"/>
      <c r="I113" s="975"/>
      <c r="J113" s="277" t="str">
        <f>FHD_NOTE_P_73</f>
        <v/>
      </c>
      <c r="K113" s="549"/>
    </row>
    <row customHeight="1" ht="33.75" hidden="1">
      <c r="A114" s="996" t="s">
        <v>585</v>
      </c>
      <c r="D114" s="1678"/>
      <c r="E114" s="552" t="str">
        <f>FHD_NUM_P_74</f>
        <v/>
      </c>
      <c r="F114" s="1923" t="str">
        <f>FHD_P_74</f>
        <v/>
      </c>
      <c r="G114" s="1919" t="s">
        <v>586</v>
      </c>
      <c r="H114" s="583"/>
      <c r="I114" s="583"/>
      <c r="J114" s="277" t="str">
        <f>FHD_NOTE_P_74</f>
        <v/>
      </c>
      <c r="K114" s="549"/>
    </row>
    <row s="4687" customFormat="1" customHeight="1" ht="18.75" hidden="1">
      <c r="A115" s="2212" t="s">
        <v>587</v>
      </c>
      <c r="B115" s="916"/>
      <c r="C115" s="741"/>
      <c r="D115" s="739"/>
      <c r="E115" s="552" t="str">
        <f>FHD_NUM_P_75</f>
        <v/>
      </c>
      <c r="F115" s="1923" t="str">
        <f>FHD_P_75</f>
        <v/>
      </c>
      <c r="G115" s="1919" t="s">
        <v>551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687" customFormat="1" customHeight="1" ht="18.75" hidden="1">
      <c r="A116" s="2212"/>
      <c r="B116" s="916"/>
      <c r="C116" s="741"/>
      <c r="D116" s="739"/>
      <c r="E116" s="552" t="str">
        <f>FHD_NUM_P_76</f>
        <v/>
      </c>
      <c r="F116" s="1923" t="str">
        <f>FHD_P_76</f>
        <v/>
      </c>
      <c r="G116" s="1919" t="s">
        <v>551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687" customFormat="1" customHeight="1" ht="18.75" hidden="1">
      <c r="A117" s="2212"/>
      <c r="B117" s="916"/>
      <c r="C117" s="741"/>
      <c r="D117" s="739"/>
      <c r="E117" s="552" t="str">
        <f>FHD_NUM_P_77</f>
        <v/>
      </c>
      <c r="F117" s="1923" t="str">
        <f>FHD_P_77</f>
        <v/>
      </c>
      <c r="G117" s="1919" t="s">
        <v>551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607" customFormat="1" customHeight="1" ht="0.75" hidden="1">
      <c r="A118" s="2212"/>
      <c r="D118" s="554"/>
      <c r="E118" s="1020" t="str">
        <f>E117&amp;".0"</f>
        <v>.0</v>
      </c>
      <c r="F118" s="1004"/>
      <c r="G118" s="1691"/>
      <c r="H118" s="999"/>
      <c r="I118" s="999"/>
      <c r="J118" s="1003"/>
    </row>
    <row s="4687" customFormat="1" customHeight="1" ht="15" hidden="1">
      <c r="A119" s="2212"/>
      <c r="B119" s="916"/>
      <c r="C119" s="741"/>
      <c r="D119" s="752"/>
      <c r="E119" s="980"/>
      <c r="F119" s="981" t="s">
        <v>588</v>
      </c>
      <c r="G119" s="753"/>
      <c r="H119" s="754"/>
      <c r="I119" s="754"/>
      <c r="J119" s="1010" t="s">
        <v>589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590</v>
      </c>
      <c r="D120" s="1678"/>
      <c r="E120" s="552" t="str">
        <f>FHD_NUM_P_78</f>
        <v/>
      </c>
      <c r="F120" s="1923" t="str">
        <f>FHD_P_78</f>
        <v/>
      </c>
      <c r="G120" s="1920" t="s">
        <v>553</v>
      </c>
      <c r="H120" s="583"/>
      <c r="I120" s="583"/>
      <c r="J120" s="277" t="str">
        <f>FHD_NOTE_P_78</f>
        <v/>
      </c>
      <c r="K120" s="549"/>
    </row>
    <row s="4607" customFormat="1" customHeight="1" ht="0.75" hidden="1">
      <c r="A121" s="2210"/>
      <c r="D121" s="554"/>
      <c r="E121" s="1020" t="str">
        <f>E120&amp;".0"</f>
        <v>.0</v>
      </c>
      <c r="F121" s="1004"/>
      <c r="G121" s="1691"/>
      <c r="H121" s="999"/>
      <c r="I121" s="999"/>
      <c r="J121" s="1003"/>
    </row>
    <row customHeight="1" ht="15" hidden="1">
      <c r="A122" s="2210"/>
      <c r="D122" s="1673"/>
      <c r="E122" s="576"/>
      <c r="F122" s="1176" t="s">
        <v>579</v>
      </c>
      <c r="G122" s="578"/>
      <c r="H122" s="579"/>
      <c r="I122" s="579"/>
      <c r="J122" s="1011" t="s">
        <v>591</v>
      </c>
      <c r="K122" s="549"/>
    </row>
    <row customHeight="1" ht="22.5" hidden="1">
      <c r="A123" s="2210"/>
      <c r="D123" s="1678"/>
      <c r="E123" s="552" t="str">
        <f>FHD_NUM_P_79</f>
        <v/>
      </c>
      <c r="F123" s="1923" t="str">
        <f>FHD_P_79</f>
        <v/>
      </c>
      <c r="G123" s="1921" t="s">
        <v>555</v>
      </c>
      <c r="H123" s="583"/>
      <c r="I123" s="583"/>
      <c r="J123" s="277" t="str">
        <f>FHD_NOTE_P_79</f>
        <v/>
      </c>
      <c r="K123" s="549"/>
    </row>
    <row s="4607" customFormat="1" customHeight="1" ht="0.75" hidden="1">
      <c r="A124" s="2210"/>
      <c r="D124" s="554"/>
      <c r="E124" s="1020" t="str">
        <f>E123&amp;".0"</f>
        <v>.0</v>
      </c>
      <c r="F124" s="1005"/>
      <c r="G124" s="1691"/>
      <c r="H124" s="999"/>
      <c r="I124" s="999"/>
      <c r="J124" s="1003"/>
    </row>
    <row customHeight="1" ht="15" hidden="1">
      <c r="A125" s="2210"/>
      <c r="D125" s="1673"/>
      <c r="E125" s="576"/>
      <c r="F125" s="1176" t="s">
        <v>579</v>
      </c>
      <c r="G125" s="578"/>
      <c r="H125" s="579"/>
      <c r="I125" s="579"/>
      <c r="J125" s="1011" t="s">
        <v>592</v>
      </c>
      <c r="K125" s="549"/>
    </row>
    <row customHeight="1" ht="22.5" hidden="1">
      <c r="A126" s="2210"/>
      <c r="D126" s="1678"/>
      <c r="E126" s="552" t="str">
        <f>FHD_NUM_P_80</f>
        <v/>
      </c>
      <c r="F126" s="1923" t="str">
        <f>FHD_P_80</f>
        <v/>
      </c>
      <c r="G126" s="1921" t="s">
        <v>593</v>
      </c>
      <c r="H126" s="563"/>
      <c r="I126" s="563"/>
      <c r="J126" s="277" t="str">
        <f>FHD_NOTE_P_80</f>
        <v/>
      </c>
      <c r="K126" s="549"/>
    </row>
    <row customHeight="1" ht="18.75" hidden="1">
      <c r="A127" s="2210"/>
      <c r="D127" s="1678"/>
      <c r="E127" s="552" t="str">
        <f>FHD_NUM_P_81</f>
        <v/>
      </c>
      <c r="F127" s="1923" t="str">
        <f>FHD_P_81</f>
        <v/>
      </c>
      <c r="G127" s="1921" t="s">
        <v>594</v>
      </c>
      <c r="H127" s="563"/>
      <c r="I127" s="563"/>
      <c r="J127" s="277" t="str">
        <f>FHD_NOTE_P_81</f>
        <v/>
      </c>
      <c r="K127" s="549"/>
    </row>
    <row customHeight="1" ht="18.75" hidden="1">
      <c r="A128" s="2210"/>
      <c r="C128" s="1676" t="s">
        <v>581</v>
      </c>
      <c r="D128" s="1678"/>
      <c r="E128" s="552" t="str">
        <f>FHD_NUM_P_82</f>
        <v/>
      </c>
      <c r="F128" s="1923" t="str">
        <f>FHD_P_82</f>
        <v/>
      </c>
      <c r="G128" s="1921" t="s">
        <v>296</v>
      </c>
      <c r="H128" s="407"/>
      <c r="I128" s="407"/>
      <c r="J128" s="277" t="str">
        <f>FHD_NOTE_P_82</f>
        <v/>
      </c>
      <c r="K128" s="549"/>
    </row>
    <row customHeight="1" ht="18.75" hidden="1">
      <c r="A129" s="2210"/>
      <c r="C129" s="1676" t="s">
        <v>581</v>
      </c>
      <c r="D129" s="1678"/>
      <c r="E129" s="552" t="str">
        <f>FHD_NUM_P_83</f>
        <v/>
      </c>
      <c r="F129" s="1554" t="str">
        <f>FHD_P_83</f>
        <v/>
      </c>
      <c r="G129" s="1921" t="s">
        <v>296</v>
      </c>
      <c r="H129" s="407"/>
      <c r="I129" s="407"/>
      <c r="J129" s="277" t="str">
        <f>FHD_NOTE_P_83</f>
        <v/>
      </c>
      <c r="K129" s="549"/>
    </row>
    <row customHeight="1" ht="18.75" hidden="1">
      <c r="A130" s="2210"/>
      <c r="C130" s="1676" t="s">
        <v>581</v>
      </c>
      <c r="D130" s="1678"/>
      <c r="E130" s="552" t="str">
        <f>FHD_NUM_P_84</f>
        <v/>
      </c>
      <c r="F130" s="1554" t="str">
        <f>FHD_P_84</f>
        <v/>
      </c>
      <c r="G130" s="1921" t="s">
        <v>296</v>
      </c>
      <c r="H130" s="407"/>
      <c r="I130" s="407"/>
      <c r="J130" s="277" t="str">
        <f>FHD_NOTE_P_84</f>
        <v/>
      </c>
      <c r="K130" s="549"/>
    </row>
    <row customHeight="1" ht="11.25">
      <c r="D131" s="1678"/>
    </row>
    <row customHeight="1" ht="12.75">
      <c r="D132" s="1678"/>
      <c r="E132" s="332"/>
      <c r="F132" s="369"/>
      <c r="G132" s="369"/>
      <c r="H132" s="369"/>
      <c r="I132" s="1687"/>
      <c r="J132" s="587"/>
    </row>
    <row s="464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64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64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64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64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64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64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64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64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64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64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64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64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64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64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64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64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64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64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64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64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64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64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64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64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64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64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64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64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64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64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64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64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64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64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64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64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64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64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64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64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64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64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64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64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64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64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64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64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64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64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64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64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64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64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64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64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64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64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64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64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64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64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64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64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64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64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64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64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64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64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64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64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64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64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64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64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64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64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64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64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64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64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64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64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64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64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64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64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64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64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64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64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64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64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64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64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64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64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64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64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64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64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64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64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64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64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64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64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64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64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64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64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64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64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64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64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64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64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64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64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64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64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64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64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64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64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64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64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64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64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64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64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64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64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64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64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64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64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64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64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64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64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64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64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64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64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64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64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64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64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64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64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64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64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64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3A61A-DDB4-92F1-65EC-8D1B67B517C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722" width="14.7109375" hidden="1" customWidth="1"/>
    <col min="2" max="2" style="3186" width="17.00390625" hidden="1" customWidth="1"/>
    <col min="3" max="3" style="3188" width="3.7109375" customWidth="1"/>
    <col min="4" max="4" style="3188" width="1.8515625" hidden="1" customWidth="1"/>
    <col min="5" max="6" style="3188" width="7.7109375" customWidth="1"/>
    <col min="7" max="7" style="3188" width="29.7109375" customWidth="1"/>
    <col min="8" max="8" style="3188" width="3.7109375" customWidth="1"/>
    <col min="9" max="9" style="3188" width="5.421875" customWidth="1"/>
    <col min="10" max="10" style="3188" width="24.57421875" customWidth="1"/>
    <col min="11" max="11" style="3188" width="24.421875" customWidth="1"/>
    <col min="12" max="12" style="3188" width="3.7109375" customWidth="1"/>
    <col min="13" max="13" style="3188" width="6.28125" customWidth="1"/>
    <col min="14" max="14" style="3188" width="25.8515625" customWidth="1"/>
    <col min="15" max="18" style="3188" width="18.7109375" customWidth="1"/>
    <col min="19" max="19" style="3188" width="93.421875" customWidth="1"/>
    <col min="20" max="20" style="3188" width="10.57421875" customWidth="1"/>
    <col min="21" max="21" style="4724" width="10.57421875" customWidth="1"/>
    <col min="22" max="22" style="4724" width="11.7109375" customWidth="1"/>
    <col min="23" max="23" style="4725" width="10.57421875" customWidth="1"/>
    <col min="24" max="27" style="3186" width="10.57421875" customWidth="1"/>
    <col min="28" max="83" style="318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МУП "Водоканал"</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86</v>
      </c>
      <c r="E10" s="1971" t="s">
        <v>86</v>
      </c>
      <c r="F10" s="1971"/>
      <c r="G10" s="527" t="s">
        <v>292</v>
      </c>
      <c r="H10" s="1971" t="s">
        <v>86</v>
      </c>
      <c r="I10" s="1971"/>
      <c r="J10" s="527" t="s">
        <v>595</v>
      </c>
      <c r="K10" s="527" t="s">
        <v>596</v>
      </c>
      <c r="L10" s="1971" t="s">
        <v>86</v>
      </c>
      <c r="M10" s="1971"/>
      <c r="N10" s="527" t="s">
        <v>597</v>
      </c>
      <c r="O10" s="527" t="s">
        <v>598</v>
      </c>
      <c r="P10" s="527" t="s">
        <v>599</v>
      </c>
      <c r="Q10" s="527" t="s">
        <v>600</v>
      </c>
      <c r="R10" s="527" t="s">
        <v>601</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603</v>
      </c>
      <c r="F17" s="2222"/>
      <c r="G17" s="2222"/>
      <c r="H17" s="2222"/>
      <c r="I17" s="2222"/>
      <c r="J17" s="2222"/>
      <c r="K17" s="2222"/>
      <c r="L17" s="2222"/>
      <c r="M17" s="2222"/>
      <c r="N17" s="2222"/>
      <c r="O17" s="2222"/>
      <c r="P17" s="2222"/>
      <c r="Q17" s="564">
        <f>SUMIF(T18:T19,"i",Q18:Q19)</f>
        <v>0</v>
      </c>
      <c r="R17" s="1024"/>
      <c r="S17" s="903" t="s">
        <v>604</v>
      </c>
      <c r="T17" s="723" t="s">
        <v>605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606</v>
      </c>
      <c r="F20" s="2222"/>
      <c r="G20" s="2222"/>
      <c r="H20" s="2222"/>
      <c r="I20" s="2222"/>
      <c r="J20" s="2222"/>
      <c r="K20" s="2222"/>
      <c r="L20" s="2222"/>
      <c r="M20" s="2222"/>
      <c r="N20" s="2222"/>
      <c r="O20" s="2222"/>
      <c r="P20" s="2222"/>
      <c r="Q20" s="564">
        <f>SUMIF(T21:T22,"i",Q21:Q22)</f>
        <v>0</v>
      </c>
      <c r="R20" s="1024"/>
      <c r="S20" s="715" t="s">
        <v>607</v>
      </c>
      <c r="T20" s="723" t="s">
        <v>605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56037-B11C-8DDC-A436-DBF0A92331D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616" width="10.7109375" hidden="1" customWidth="1"/>
    <col min="2" max="2" style="3327" width="16.8515625" hidden="1" customWidth="1"/>
    <col min="3" max="3" style="4607" width="5.57421875" hidden="1" customWidth="1"/>
    <col min="4" max="4" style="4719" width="3.7109375" customWidth="1"/>
    <col min="5" max="5" style="2984" width="7.7109375" customWidth="1"/>
    <col min="6" max="6" style="2984" width="56.140625" customWidth="1"/>
    <col min="7" max="7" style="2984" width="10.421875" customWidth="1"/>
    <col min="8" max="8" style="2984" width="40.7109375" hidden="1" customWidth="1"/>
    <col min="9" max="9" style="2984" width="40.7109375" customWidth="1"/>
    <col min="10" max="10" style="2984" width="102.8515625" customWidth="1"/>
    <col min="11" max="11" style="3327" width="9.7109375" customWidth="1"/>
    <col min="12" max="12" style="4607" width="5.28125" customWidth="1"/>
    <col min="13" max="13" style="4607" width="3.7109375" customWidth="1"/>
    <col min="14" max="17" style="3327" width="3.7109375" customWidth="1"/>
    <col min="18" max="18" style="4607" width="10.57421875" customWidth="1"/>
    <col min="19" max="19" style="3327" width="34.7109375" customWidth="1"/>
    <col min="20" max="20" style="3327" width="9.421875" customWidth="1"/>
    <col min="21" max="21" style="4620" width="9.140625"/>
    <col min="22" max="26" style="3327" width="9.140625"/>
    <col min="27" max="31" style="2983" width="9.140625"/>
  </cols>
  <sheetData>
    <row s="3327" customFormat="1" customHeight="1" ht="11.25" hidden="1">
      <c r="A1" s="994"/>
      <c r="C1" s="1676"/>
      <c r="D1" s="543"/>
      <c r="H1" s="1168">
        <v>4</v>
      </c>
      <c r="I1" s="1168">
        <v>4</v>
      </c>
      <c r="L1" s="1676"/>
      <c r="M1" s="1676"/>
      <c r="R1" s="1676"/>
    </row>
    <row s="3327" customFormat="1" customHeight="1" ht="22.5" hidden="1">
      <c r="A2" s="994"/>
      <c r="C2" s="1676"/>
      <c r="D2" s="544"/>
      <c r="E2" s="1677"/>
      <c r="F2" s="546"/>
      <c r="G2" s="1679" t="s">
        <v>545</v>
      </c>
      <c r="H2" s="547"/>
      <c r="I2" s="547"/>
      <c r="J2" s="548" t="s">
        <v>608</v>
      </c>
      <c r="K2" s="549"/>
      <c r="L2" s="1676"/>
      <c r="M2" s="1676"/>
      <c r="R2" s="1676"/>
      <c r="U2" s="550"/>
      <c r="AA2" s="1672"/>
      <c r="AB2" s="1672"/>
      <c r="AC2" s="1672"/>
      <c r="AD2" s="1672"/>
      <c r="AE2" s="1672"/>
    </row>
    <row customHeight="1" ht="11.25" hidden="1"/>
    <row s="298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609</v>
      </c>
      <c r="F6" s="2151"/>
      <c r="G6" s="2151"/>
      <c r="H6" s="2151"/>
      <c r="I6" s="2151"/>
      <c r="J6" s="562"/>
    </row>
    <row customHeight="1" ht="24">
      <c r="E7" s="2141" t="str">
        <f>IF(org=0,"Не определено",org)</f>
        <v>МУП "Водоканал"</v>
      </c>
      <c r="F7" s="2141"/>
      <c r="G7" s="2141"/>
      <c r="H7" s="2141"/>
      <c r="I7" s="2141"/>
    </row>
    <row customHeight="1" ht="11.25">
      <c r="E8" s="1143"/>
      <c r="F8" s="1143"/>
      <c r="G8" s="1143"/>
      <c r="H8" s="1143"/>
      <c r="I8" s="1143"/>
    </row>
    <row s="4607"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557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86</v>
      </c>
      <c r="F14" s="1674" t="s">
        <v>292</v>
      </c>
      <c r="G14" s="1674" t="s">
        <v>559</v>
      </c>
      <c r="H14" s="1674" t="s">
        <v>293</v>
      </c>
      <c r="I14" s="1674" t="s">
        <v>293</v>
      </c>
      <c r="J14" s="1971"/>
    </row>
    <row customHeight="1" ht="18.75">
      <c r="D15" s="1678"/>
      <c r="E15" s="1670" t="s">
        <v>107</v>
      </c>
      <c r="F15" s="713" t="s">
        <v>610</v>
      </c>
      <c r="G15" s="1686" t="s">
        <v>545</v>
      </c>
      <c r="H15" s="563"/>
      <c r="I15" s="563"/>
      <c r="J15" s="277" t="s">
        <v>611</v>
      </c>
      <c r="K15" s="549" t="s">
        <v>612</v>
      </c>
    </row>
    <row customHeight="1" ht="33.75">
      <c r="D16" s="1678"/>
      <c r="E16" s="1670" t="s">
        <v>108</v>
      </c>
      <c r="F16" s="713" t="s">
        <v>613</v>
      </c>
      <c r="G16" s="1686" t="s">
        <v>545</v>
      </c>
      <c r="H16" s="564">
        <f>SUM(H17,H20:H32)</f>
        <v>0</v>
      </c>
      <c r="I16" s="564">
        <f>SUM(I17,I20:I32)</f>
        <v>0</v>
      </c>
      <c r="J16" s="277" t="s">
        <v>614</v>
      </c>
      <c r="K16" s="549" t="s">
        <v>612</v>
      </c>
    </row>
    <row customHeight="1" ht="18.75">
      <c r="D17" s="1678"/>
      <c r="E17" s="1704" t="s">
        <v>615</v>
      </c>
      <c r="F17" s="961" t="s">
        <v>616</v>
      </c>
      <c r="G17" s="1683" t="s">
        <v>545</v>
      </c>
      <c r="H17" s="563"/>
      <c r="I17" s="563"/>
      <c r="J17" s="277" t="s">
        <v>617</v>
      </c>
      <c r="K17" s="549"/>
    </row>
    <row customHeight="1" ht="22.5">
      <c r="D18" s="1678"/>
      <c r="E18" s="1704" t="s">
        <v>618</v>
      </c>
      <c r="F18" s="1690" t="s">
        <v>619</v>
      </c>
      <c r="G18" s="1683" t="s">
        <v>545</v>
      </c>
      <c r="H18" s="563"/>
      <c r="I18" s="563"/>
      <c r="J18" s="277" t="s">
        <v>620</v>
      </c>
      <c r="K18" s="549"/>
    </row>
    <row customHeight="1" ht="33.75">
      <c r="D19" s="1678"/>
      <c r="E19" s="1704" t="s">
        <v>621</v>
      </c>
      <c r="F19" s="1690" t="s">
        <v>622</v>
      </c>
      <c r="G19" s="1683" t="s">
        <v>545</v>
      </c>
      <c r="H19" s="563"/>
      <c r="I19" s="563"/>
      <c r="J19" s="277"/>
      <c r="K19" s="549"/>
    </row>
    <row customHeight="1" ht="18.75">
      <c r="D20" s="1678"/>
      <c r="E20" s="1704" t="s">
        <v>297</v>
      </c>
      <c r="F20" s="961" t="s">
        <v>623</v>
      </c>
      <c r="G20" s="1683" t="s">
        <v>545</v>
      </c>
      <c r="H20" s="563"/>
      <c r="I20" s="563"/>
      <c r="J20" s="277" t="s">
        <v>624</v>
      </c>
      <c r="K20" s="549"/>
    </row>
    <row customHeight="1" ht="18.75">
      <c r="D21" s="1678"/>
      <c r="E21" s="1704" t="s">
        <v>625</v>
      </c>
      <c r="F21" s="1690" t="s">
        <v>626</v>
      </c>
      <c r="G21" s="1683" t="s">
        <v>545</v>
      </c>
      <c r="H21" s="563"/>
      <c r="I21" s="563"/>
      <c r="J21" s="277"/>
      <c r="K21" s="549"/>
    </row>
    <row customHeight="1" ht="18.75">
      <c r="D22" s="1678"/>
      <c r="E22" s="1704" t="s">
        <v>627</v>
      </c>
      <c r="F22" s="1690" t="s">
        <v>628</v>
      </c>
      <c r="G22" s="1683" t="s">
        <v>545</v>
      </c>
      <c r="H22" s="563"/>
      <c r="I22" s="563"/>
      <c r="J22" s="277"/>
      <c r="K22" s="549"/>
    </row>
    <row customHeight="1" ht="22.5">
      <c r="D23" s="1678"/>
      <c r="E23" s="1704" t="s">
        <v>300</v>
      </c>
      <c r="F23" s="961" t="s">
        <v>629</v>
      </c>
      <c r="G23" s="1683" t="s">
        <v>545</v>
      </c>
      <c r="H23" s="563"/>
      <c r="I23" s="563"/>
      <c r="J23" s="277" t="s">
        <v>630</v>
      </c>
      <c r="K23" s="549"/>
    </row>
    <row customHeight="1" ht="18.75">
      <c r="D24" s="1678"/>
      <c r="E24" s="1704" t="s">
        <v>631</v>
      </c>
      <c r="F24" s="1690" t="s">
        <v>632</v>
      </c>
      <c r="G24" s="1683" t="s">
        <v>545</v>
      </c>
      <c r="H24" s="563"/>
      <c r="I24" s="563"/>
      <c r="J24" s="277"/>
      <c r="K24" s="549"/>
    </row>
    <row customHeight="1" ht="33.75">
      <c r="D25" s="1678"/>
      <c r="E25" s="1704" t="s">
        <v>633</v>
      </c>
      <c r="F25" s="1690" t="s">
        <v>634</v>
      </c>
      <c r="G25" s="1683" t="s">
        <v>545</v>
      </c>
      <c r="H25" s="563"/>
      <c r="I25" s="563"/>
      <c r="J25" s="277"/>
      <c r="K25" s="549"/>
    </row>
    <row customHeight="1" ht="22.5">
      <c r="D26" s="1678"/>
      <c r="E26" s="1704" t="s">
        <v>635</v>
      </c>
      <c r="F26" s="961" t="s">
        <v>636</v>
      </c>
      <c r="G26" s="1683" t="s">
        <v>545</v>
      </c>
      <c r="H26" s="563"/>
      <c r="I26" s="563"/>
      <c r="J26" s="277" t="s">
        <v>637</v>
      </c>
      <c r="K26" s="549"/>
    </row>
    <row customHeight="1" ht="18.75">
      <c r="D27" s="1678"/>
      <c r="E27" s="1715" t="s">
        <v>638</v>
      </c>
      <c r="F27" s="1690" t="s">
        <v>639</v>
      </c>
      <c r="G27" s="1694" t="s">
        <v>545</v>
      </c>
      <c r="H27" s="1716"/>
      <c r="I27" s="1716"/>
      <c r="J27" s="277"/>
      <c r="K27" s="549"/>
    </row>
    <row customHeight="1" ht="18.75">
      <c r="D28" s="1678"/>
      <c r="E28" s="1715" t="s">
        <v>640</v>
      </c>
      <c r="F28" s="1690" t="s">
        <v>641</v>
      </c>
      <c r="G28" s="1694" t="s">
        <v>545</v>
      </c>
      <c r="H28" s="1716"/>
      <c r="I28" s="1716"/>
      <c r="J28" s="277"/>
      <c r="K28" s="549"/>
    </row>
    <row customHeight="1" ht="18.75">
      <c r="D29" s="1678"/>
      <c r="E29" s="1715" t="s">
        <v>642</v>
      </c>
      <c r="F29" s="961" t="s">
        <v>643</v>
      </c>
      <c r="G29" s="1694" t="s">
        <v>545</v>
      </c>
      <c r="H29" s="1716"/>
      <c r="I29" s="1716"/>
      <c r="J29" s="277"/>
      <c r="K29" s="549"/>
    </row>
    <row customHeight="1" ht="18.75">
      <c r="D30" s="1678"/>
      <c r="E30" s="1715" t="s">
        <v>644</v>
      </c>
      <c r="F30" s="961" t="s">
        <v>645</v>
      </c>
      <c r="G30" s="1694" t="s">
        <v>545</v>
      </c>
      <c r="H30" s="1716"/>
      <c r="I30" s="1716"/>
      <c r="J30" s="277"/>
      <c r="K30" s="549"/>
    </row>
    <row customHeight="1" ht="18.75">
      <c r="D31" s="1678"/>
      <c r="E31" s="1715" t="s">
        <v>646</v>
      </c>
      <c r="F31" s="961" t="s">
        <v>647</v>
      </c>
      <c r="G31" s="1694" t="s">
        <v>545</v>
      </c>
      <c r="H31" s="1716"/>
      <c r="I31" s="1716"/>
      <c r="J31" s="277"/>
      <c r="K31" s="549"/>
    </row>
    <row s="3327" customFormat="1" customHeight="1" ht="22.5">
      <c r="A32" s="994"/>
      <c r="C32" s="1676"/>
      <c r="D32" s="1678"/>
      <c r="E32" s="1715" t="s">
        <v>648</v>
      </c>
      <c r="F32" s="961" t="s">
        <v>649</v>
      </c>
      <c r="G32" s="1684" t="s">
        <v>545</v>
      </c>
      <c r="H32" s="585">
        <f>SUM(H33:H34)</f>
        <v>0</v>
      </c>
      <c r="I32" s="585">
        <f>SUM(I33:I34)</f>
        <v>0</v>
      </c>
      <c r="J32" s="277" t="s">
        <v>650</v>
      </c>
      <c r="K32" s="549"/>
      <c r="L32" s="1676"/>
      <c r="M32" s="1676"/>
      <c r="R32" s="1676"/>
      <c r="U32" s="550"/>
      <c r="AA32" s="1672"/>
      <c r="AB32" s="1672"/>
      <c r="AC32" s="1672"/>
      <c r="AD32" s="1672"/>
      <c r="AE32" s="1672"/>
    </row>
    <row s="4607" customFormat="1" customHeight="1" ht="0.75">
      <c r="A33" s="1175"/>
      <c r="D33" s="554"/>
      <c r="E33" s="808" t="str">
        <f>E32&amp;".0"</f>
        <v>2.8.0</v>
      </c>
      <c r="F33" s="998"/>
      <c r="G33" s="557"/>
      <c r="H33" s="999"/>
      <c r="I33" s="999"/>
      <c r="J33" s="1000"/>
    </row>
    <row s="3327" customFormat="1" customHeight="1" ht="18.75">
      <c r="A34" s="994"/>
      <c r="C34" s="1676"/>
      <c r="D34" s="1673"/>
      <c r="E34" s="576"/>
      <c r="F34" s="1706" t="s">
        <v>570</v>
      </c>
      <c r="G34" s="578"/>
      <c r="H34" s="579"/>
      <c r="I34" s="579"/>
      <c r="J34" s="289" t="s">
        <v>651</v>
      </c>
      <c r="K34" s="549"/>
      <c r="L34" s="1676"/>
      <c r="M34" s="1676"/>
      <c r="R34" s="1676"/>
      <c r="U34" s="550"/>
      <c r="AA34" s="1672"/>
      <c r="AB34" s="1672"/>
      <c r="AC34" s="1672"/>
      <c r="AD34" s="1672"/>
      <c r="AE34" s="1672"/>
    </row>
    <row customHeight="1" ht="56.25">
      <c r="D35" s="1678"/>
      <c r="E35" s="1715" t="s">
        <v>652</v>
      </c>
      <c r="F35" s="961" t="s">
        <v>653</v>
      </c>
      <c r="G35" s="1694" t="s">
        <v>545</v>
      </c>
      <c r="H35" s="1716"/>
      <c r="I35" s="1716"/>
      <c r="J35" s="277" t="s">
        <v>654</v>
      </c>
      <c r="K35" s="549"/>
    </row>
    <row s="3327" customFormat="1" customHeight="1" ht="22.5">
      <c r="A36" s="996" t="s">
        <v>571</v>
      </c>
      <c r="C36" s="1676"/>
      <c r="D36" s="1678"/>
      <c r="E36" s="1704" t="s">
        <v>88</v>
      </c>
      <c r="F36" s="713" t="s">
        <v>655</v>
      </c>
      <c r="G36" s="1683" t="s">
        <v>545</v>
      </c>
      <c r="H36" s="563"/>
      <c r="I36" s="563"/>
      <c r="J36" s="277" t="s">
        <v>656</v>
      </c>
      <c r="K36" s="549"/>
      <c r="L36" s="1676"/>
      <c r="M36" s="1676"/>
      <c r="R36" s="1676"/>
      <c r="U36" s="550"/>
      <c r="AA36" s="1672"/>
      <c r="AB36" s="1672"/>
      <c r="AC36" s="1672"/>
      <c r="AD36" s="1672"/>
      <c r="AE36" s="1672"/>
    </row>
    <row s="3327" customFormat="1" customHeight="1" ht="22.5">
      <c r="A37" s="996"/>
      <c r="C37" s="1676"/>
      <c r="D37" s="1678"/>
      <c r="E37" s="1704" t="s">
        <v>316</v>
      </c>
      <c r="F37" s="961" t="s">
        <v>657</v>
      </c>
      <c r="G37" s="1694"/>
      <c r="H37" s="563"/>
      <c r="I37" s="563"/>
      <c r="J37" s="277"/>
      <c r="K37" s="549"/>
      <c r="L37" s="1676"/>
      <c r="M37" s="1676"/>
      <c r="R37" s="1676"/>
      <c r="U37" s="550"/>
      <c r="AA37" s="1672"/>
      <c r="AB37" s="1672"/>
      <c r="AC37" s="1672"/>
      <c r="AD37" s="1672"/>
      <c r="AE37" s="1672"/>
    </row>
    <row s="3327" customFormat="1" customHeight="1" ht="18.75">
      <c r="A38" s="994"/>
      <c r="C38" s="1676"/>
      <c r="D38" s="581"/>
      <c r="E38" s="1704" t="s">
        <v>89</v>
      </c>
      <c r="F38" s="713" t="s">
        <v>658</v>
      </c>
      <c r="G38" s="1683" t="s">
        <v>545</v>
      </c>
      <c r="H38" s="563"/>
      <c r="I38" s="563"/>
      <c r="J38" s="277" t="s">
        <v>659</v>
      </c>
      <c r="K38" s="549"/>
      <c r="L38" s="1676"/>
      <c r="M38" s="1676"/>
      <c r="R38" s="1676"/>
      <c r="U38" s="550"/>
      <c r="AA38" s="1672"/>
      <c r="AB38" s="1672"/>
      <c r="AC38" s="1672"/>
      <c r="AD38" s="1672"/>
      <c r="AE38" s="1672"/>
    </row>
    <row s="3327" customFormat="1" customHeight="1" ht="22.5">
      <c r="A39" s="994"/>
      <c r="C39" s="1676"/>
      <c r="D39" s="581"/>
      <c r="E39" s="1704" t="s">
        <v>660</v>
      </c>
      <c r="F39" s="961" t="s">
        <v>661</v>
      </c>
      <c r="G39" s="1694" t="s">
        <v>545</v>
      </c>
      <c r="H39" s="563"/>
      <c r="I39" s="563"/>
      <c r="J39" s="277" t="s">
        <v>662</v>
      </c>
      <c r="K39" s="549"/>
      <c r="L39" s="1676"/>
      <c r="M39" s="1676"/>
      <c r="R39" s="1676"/>
      <c r="U39" s="550"/>
      <c r="AA39" s="1672"/>
      <c r="AB39" s="1672"/>
      <c r="AC39" s="1672"/>
      <c r="AD39" s="1672"/>
      <c r="AE39" s="1672"/>
    </row>
    <row s="3327" customFormat="1" customHeight="1" ht="22.5">
      <c r="A40" s="994"/>
      <c r="C40" s="1676"/>
      <c r="D40" s="1678"/>
      <c r="E40" s="1704" t="s">
        <v>663</v>
      </c>
      <c r="F40" s="1690" t="s">
        <v>664</v>
      </c>
      <c r="G40" s="1683" t="s">
        <v>545</v>
      </c>
      <c r="H40" s="563"/>
      <c r="I40" s="563"/>
      <c r="J40" s="277" t="s">
        <v>665</v>
      </c>
      <c r="K40" s="549"/>
      <c r="L40" s="1676"/>
      <c r="M40" s="1676"/>
      <c r="R40" s="1676"/>
      <c r="U40" s="550"/>
      <c r="AA40" s="1672"/>
      <c r="AB40" s="1672"/>
      <c r="AC40" s="1672"/>
      <c r="AD40" s="1672"/>
      <c r="AE40" s="1672"/>
    </row>
    <row s="3327" customFormat="1" customHeight="1" ht="22.5">
      <c r="A41" s="994"/>
      <c r="C41" s="1676"/>
      <c r="D41" s="1678"/>
      <c r="E41" s="1704" t="s">
        <v>666</v>
      </c>
      <c r="F41" s="1690" t="s">
        <v>667</v>
      </c>
      <c r="G41" s="1683" t="s">
        <v>545</v>
      </c>
      <c r="H41" s="563"/>
      <c r="I41" s="563"/>
      <c r="J41" s="277" t="s">
        <v>668</v>
      </c>
      <c r="K41" s="549"/>
      <c r="L41" s="1676"/>
      <c r="M41" s="1676"/>
      <c r="R41" s="1676"/>
      <c r="U41" s="550"/>
      <c r="AA41" s="1672"/>
      <c r="AB41" s="1672"/>
      <c r="AC41" s="1672"/>
      <c r="AD41" s="1672"/>
      <c r="AE41" s="1672"/>
    </row>
    <row s="3327" customFormat="1" customHeight="1" ht="22.5">
      <c r="A42" s="994"/>
      <c r="C42" s="1676"/>
      <c r="D42" s="1678"/>
      <c r="E42" s="1704" t="s">
        <v>669</v>
      </c>
      <c r="F42" s="1690" t="s">
        <v>670</v>
      </c>
      <c r="G42" s="1683" t="s">
        <v>545</v>
      </c>
      <c r="H42" s="563"/>
      <c r="I42" s="563"/>
      <c r="J42" s="277" t="s">
        <v>671</v>
      </c>
      <c r="K42" s="549"/>
      <c r="L42" s="1676"/>
      <c r="M42" s="1676"/>
      <c r="R42" s="1676"/>
      <c r="U42" s="550"/>
      <c r="AA42" s="1672"/>
      <c r="AB42" s="1672"/>
      <c r="AC42" s="1672"/>
      <c r="AD42" s="1672"/>
      <c r="AE42" s="1672"/>
    </row>
    <row s="3327" customFormat="1" customHeight="1" ht="33.75">
      <c r="A43" s="994"/>
      <c r="C43" s="1676" t="s">
        <v>581</v>
      </c>
      <c r="D43" s="1678"/>
      <c r="E43" s="1704" t="s">
        <v>109</v>
      </c>
      <c r="F43" s="713" t="s">
        <v>672</v>
      </c>
      <c r="G43" s="1686" t="s">
        <v>673</v>
      </c>
      <c r="H43" s="407"/>
      <c r="I43" s="407"/>
      <c r="J43" s="277" t="s">
        <v>674</v>
      </c>
      <c r="K43" s="549"/>
      <c r="L43" s="1676"/>
      <c r="M43" s="1676"/>
      <c r="R43" s="1676"/>
      <c r="U43" s="550"/>
      <c r="AA43" s="1672"/>
      <c r="AB43" s="1672"/>
      <c r="AC43" s="1672"/>
      <c r="AD43" s="1672"/>
      <c r="AE43" s="1672"/>
    </row>
    <row s="3327" customFormat="1" customHeight="1" ht="22.5">
      <c r="A44" s="994"/>
      <c r="C44" s="1676"/>
      <c r="D44" s="1678"/>
      <c r="E44" s="1704" t="s">
        <v>90</v>
      </c>
      <c r="F44" s="713" t="s">
        <v>675</v>
      </c>
      <c r="G44" s="1683" t="s">
        <v>676</v>
      </c>
      <c r="H44" s="551"/>
      <c r="I44" s="551"/>
      <c r="J44" s="277" t="s">
        <v>677</v>
      </c>
      <c r="K44" s="549"/>
      <c r="L44" s="1676"/>
      <c r="M44" s="1676"/>
      <c r="R44" s="1676"/>
      <c r="U44" s="550"/>
      <c r="AA44" s="1672"/>
      <c r="AB44" s="1672"/>
      <c r="AC44" s="1672"/>
      <c r="AD44" s="1672"/>
      <c r="AE44" s="1672"/>
    </row>
    <row s="3327" customFormat="1" customHeight="1" ht="22.5">
      <c r="A45" s="994"/>
      <c r="C45" s="1676"/>
      <c r="D45" s="1678"/>
      <c r="E45" s="1704" t="s">
        <v>91</v>
      </c>
      <c r="F45" s="713" t="s">
        <v>678</v>
      </c>
      <c r="G45" s="1694" t="s">
        <v>679</v>
      </c>
      <c r="H45" s="551"/>
      <c r="I45" s="551"/>
      <c r="J45" s="277" t="s">
        <v>680</v>
      </c>
      <c r="K45" s="549"/>
      <c r="L45" s="1676"/>
      <c r="M45" s="1676"/>
      <c r="R45" s="1676"/>
      <c r="U45" s="550"/>
      <c r="AA45" s="1672"/>
      <c r="AB45" s="1672"/>
      <c r="AC45" s="1672"/>
      <c r="AD45" s="1672"/>
      <c r="AE45" s="1672"/>
    </row>
    <row s="3327" customFormat="1" customHeight="1" ht="18.75">
      <c r="A46" s="994"/>
      <c r="C46" s="1676"/>
      <c r="D46" s="1678"/>
      <c r="E46" s="1704" t="s">
        <v>110</v>
      </c>
      <c r="F46" s="713" t="s">
        <v>681</v>
      </c>
      <c r="G46" s="1683" t="s">
        <v>583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64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64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64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64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64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64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64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64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64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64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64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64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64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64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64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64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64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64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64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64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64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64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64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64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64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64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64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64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64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64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64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64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64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64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64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64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64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64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64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64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64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64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64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64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64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64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64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64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64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64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64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64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64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64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64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64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64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64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64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64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64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64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64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64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64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64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64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64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64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64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64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64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64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64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64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64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64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64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64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64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64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64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64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64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64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64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64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64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64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64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64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64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64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64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64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64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64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64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64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64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64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64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64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64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64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64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64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64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64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64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64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64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64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64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64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64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64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64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64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64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64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64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64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64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64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64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64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64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64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64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64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64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64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64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64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64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64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64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64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64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64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64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64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64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64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64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64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64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64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64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64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64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64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64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64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64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A5A35-7F54-51E7-55A7-46D2A949019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616" width="10.7109375" hidden="1" customWidth="1"/>
    <col min="2" max="2" style="3327" width="16.8515625" hidden="1" customWidth="1"/>
    <col min="3" max="3" style="4607" width="5.57421875" hidden="1" customWidth="1"/>
    <col min="4" max="4" style="4719" width="3.7109375" customWidth="1"/>
    <col min="5" max="5" style="2984" width="7.7109375" customWidth="1"/>
    <col min="6" max="6" style="2984" width="54.57421875" customWidth="1"/>
    <col min="7" max="7" style="2984" width="10.421875" customWidth="1"/>
    <col min="8" max="8" style="2984" width="40.7109375" hidden="1" customWidth="1"/>
    <col min="9" max="9" style="2984" width="40.7109375" customWidth="1"/>
    <col min="10" max="10" style="2984" width="102.8515625" customWidth="1"/>
    <col min="11" max="11" style="3327" width="9.7109375" customWidth="1"/>
    <col min="12" max="12" style="4607" width="5.28125" customWidth="1"/>
    <col min="13" max="13" style="4607" width="3.7109375" customWidth="1"/>
    <col min="14" max="17" style="3327" width="3.7109375" customWidth="1"/>
    <col min="18" max="18" style="4607" width="10.57421875" customWidth="1"/>
    <col min="19" max="19" style="3327" width="34.7109375" customWidth="1"/>
    <col min="20" max="20" style="3327" width="9.421875" customWidth="1"/>
    <col min="21" max="21" style="4620" width="9.140625"/>
    <col min="22" max="26" style="3327" width="9.140625"/>
    <col min="27" max="31" style="2983" width="9.140625"/>
  </cols>
  <sheetData>
    <row s="3327" customFormat="1" customHeight="1" ht="11.25" hidden="1">
      <c r="A1" s="994"/>
      <c r="C1" s="1676"/>
      <c r="D1" s="543"/>
      <c r="H1" s="1168">
        <v>4</v>
      </c>
      <c r="I1" s="1168">
        <v>4</v>
      </c>
      <c r="L1" s="1676"/>
      <c r="M1" s="1676"/>
      <c r="R1" s="1676"/>
    </row>
    <row s="3327" customFormat="1" customHeight="1" ht="22.5" hidden="1">
      <c r="A2" s="994"/>
      <c r="C2" s="1676"/>
      <c r="D2" s="544"/>
      <c r="E2" s="1698"/>
      <c r="F2" s="546"/>
      <c r="G2" s="1697" t="s">
        <v>545</v>
      </c>
      <c r="H2" s="547"/>
      <c r="I2" s="547"/>
      <c r="J2" s="548" t="s">
        <v>548</v>
      </c>
      <c r="K2" s="549"/>
      <c r="L2" s="1676"/>
      <c r="M2" s="1676"/>
      <c r="R2" s="1676"/>
      <c r="U2" s="550"/>
      <c r="AA2" s="1672"/>
      <c r="AB2" s="1672"/>
      <c r="AC2" s="1672"/>
      <c r="AD2" s="1672"/>
      <c r="AE2" s="1672"/>
    </row>
    <row customHeight="1" ht="11.25" hidden="1"/>
    <row s="298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682</v>
      </c>
      <c r="F6" s="2140"/>
      <c r="G6" s="2140"/>
      <c r="H6" s="2140"/>
      <c r="I6" s="2140"/>
      <c r="J6" s="562"/>
    </row>
    <row customHeight="1" ht="24">
      <c r="E7" s="2141" t="str">
        <f>IF(org=0,"Не определено",org)</f>
        <v>МУП "Водоканал"</v>
      </c>
      <c r="F7" s="2141"/>
      <c r="G7" s="2141"/>
      <c r="H7" s="2141"/>
      <c r="I7" s="2141"/>
    </row>
    <row customHeight="1" ht="11.25">
      <c r="E8" s="1143"/>
      <c r="F8" s="1143"/>
      <c r="G8" s="1143"/>
      <c r="H8" s="1143"/>
      <c r="I8" s="1143"/>
    </row>
    <row s="4607"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557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86</v>
      </c>
      <c r="F14" s="1700" t="s">
        <v>292</v>
      </c>
      <c r="G14" s="1700" t="s">
        <v>559</v>
      </c>
      <c r="H14" s="1700" t="s">
        <v>293</v>
      </c>
      <c r="I14" s="1700" t="s">
        <v>293</v>
      </c>
      <c r="J14" s="1971"/>
    </row>
    <row customHeight="1" ht="18.75">
      <c r="D15" s="1678"/>
      <c r="E15" s="1670" t="s">
        <v>107</v>
      </c>
      <c r="F15" s="713" t="s">
        <v>683</v>
      </c>
      <c r="G15" s="1697" t="s">
        <v>545</v>
      </c>
      <c r="H15" s="563"/>
      <c r="I15" s="563"/>
      <c r="J15" s="277" t="s">
        <v>684</v>
      </c>
      <c r="K15" s="549" t="s">
        <v>612</v>
      </c>
    </row>
    <row customHeight="1" ht="22.5">
      <c r="D16" s="1678"/>
      <c r="E16" s="1670" t="s">
        <v>108</v>
      </c>
      <c r="F16" s="1705" t="s">
        <v>685</v>
      </c>
      <c r="G16" s="1697" t="s">
        <v>545</v>
      </c>
      <c r="H16" s="564">
        <f>SUM(H17,H20:H27)</f>
        <v>0</v>
      </c>
      <c r="I16" s="564">
        <f>SUM(I17,I20:I27)</f>
        <v>0</v>
      </c>
      <c r="J16" s="277" t="s">
        <v>686</v>
      </c>
      <c r="K16" s="549" t="s">
        <v>612</v>
      </c>
    </row>
    <row customHeight="1" ht="33.75">
      <c r="D17" s="1678"/>
      <c r="E17" s="1704" t="s">
        <v>615</v>
      </c>
      <c r="F17" s="1707" t="s">
        <v>687</v>
      </c>
      <c r="G17" s="1694" t="s">
        <v>545</v>
      </c>
      <c r="H17" s="563"/>
      <c r="I17" s="563"/>
      <c r="J17" s="277" t="s">
        <v>688</v>
      </c>
      <c r="K17" s="549"/>
    </row>
    <row customHeight="1" ht="18.75">
      <c r="D18" s="1678"/>
      <c r="E18" s="1704" t="s">
        <v>618</v>
      </c>
      <c r="F18" s="1708" t="s">
        <v>689</v>
      </c>
      <c r="G18" s="1694" t="s">
        <v>545</v>
      </c>
      <c r="H18" s="563"/>
      <c r="I18" s="563"/>
      <c r="J18" s="277"/>
      <c r="K18" s="549"/>
    </row>
    <row customHeight="1" ht="22.5">
      <c r="D19" s="1678"/>
      <c r="E19" s="1704" t="s">
        <v>621</v>
      </c>
      <c r="F19" s="1708" t="s">
        <v>690</v>
      </c>
      <c r="G19" s="1694" t="s">
        <v>545</v>
      </c>
      <c r="H19" s="563"/>
      <c r="I19" s="563"/>
      <c r="J19" s="277"/>
      <c r="K19" s="549"/>
    </row>
    <row customHeight="1" ht="33.75">
      <c r="D20" s="1678"/>
      <c r="E20" s="1704" t="s">
        <v>297</v>
      </c>
      <c r="F20" s="1707" t="s">
        <v>691</v>
      </c>
      <c r="G20" s="1694" t="s">
        <v>545</v>
      </c>
      <c r="H20" s="563"/>
      <c r="I20" s="563"/>
      <c r="J20" s="277"/>
      <c r="K20" s="549"/>
    </row>
    <row customHeight="1" ht="33.75">
      <c r="D21" s="1678"/>
      <c r="E21" s="1704" t="s">
        <v>300</v>
      </c>
      <c r="F21" s="1707" t="s">
        <v>692</v>
      </c>
      <c r="G21" s="1694" t="s">
        <v>545</v>
      </c>
      <c r="H21" s="563"/>
      <c r="I21" s="563"/>
      <c r="J21" s="277"/>
      <c r="K21" s="549"/>
    </row>
    <row customHeight="1" ht="56.25">
      <c r="D22" s="1678"/>
      <c r="E22" s="1704" t="s">
        <v>635</v>
      </c>
      <c r="F22" s="1707" t="s">
        <v>693</v>
      </c>
      <c r="G22" s="1694" t="s">
        <v>545</v>
      </c>
      <c r="H22" s="563"/>
      <c r="I22" s="563"/>
      <c r="J22" s="277"/>
      <c r="K22" s="549"/>
    </row>
    <row customHeight="1" ht="33.75">
      <c r="D23" s="1678"/>
      <c r="E23" s="1704" t="s">
        <v>642</v>
      </c>
      <c r="F23" s="1707" t="s">
        <v>694</v>
      </c>
      <c r="G23" s="1694" t="s">
        <v>545</v>
      </c>
      <c r="H23" s="563"/>
      <c r="I23" s="563"/>
      <c r="J23" s="277"/>
      <c r="K23" s="549"/>
    </row>
    <row customHeight="1" ht="33.75">
      <c r="D24" s="1678"/>
      <c r="E24" s="1704" t="s">
        <v>644</v>
      </c>
      <c r="F24" s="1707" t="s">
        <v>695</v>
      </c>
      <c r="G24" s="1694" t="s">
        <v>545</v>
      </c>
      <c r="H24" s="563"/>
      <c r="I24" s="563"/>
      <c r="J24" s="277"/>
      <c r="K24" s="549"/>
    </row>
    <row customHeight="1" ht="22.5">
      <c r="D25" s="1678"/>
      <c r="E25" s="1704" t="s">
        <v>646</v>
      </c>
      <c r="F25" s="1707" t="s">
        <v>696</v>
      </c>
      <c r="G25" s="1694" t="s">
        <v>545</v>
      </c>
      <c r="H25" s="563"/>
      <c r="I25" s="563"/>
      <c r="J25" s="277"/>
      <c r="K25" s="549"/>
    </row>
    <row customHeight="1" ht="67.5">
      <c r="D26" s="1678"/>
      <c r="E26" s="1704" t="s">
        <v>648</v>
      </c>
      <c r="F26" s="1707" t="s">
        <v>697</v>
      </c>
      <c r="G26" s="1694" t="s">
        <v>545</v>
      </c>
      <c r="H26" s="563"/>
      <c r="I26" s="563"/>
      <c r="J26" s="277"/>
      <c r="K26" s="549"/>
    </row>
    <row s="3327" customFormat="1" customHeight="1" ht="22.5">
      <c r="A27" s="994"/>
      <c r="C27" s="1676"/>
      <c r="D27" s="1678"/>
      <c r="E27" s="1669" t="s">
        <v>652</v>
      </c>
      <c r="F27" s="1668" t="s">
        <v>698</v>
      </c>
      <c r="G27" s="1695" t="s">
        <v>545</v>
      </c>
      <c r="H27" s="585">
        <f>SUM(H28:H29)</f>
        <v>0</v>
      </c>
      <c r="I27" s="585">
        <f>SUM(I28:I29)</f>
        <v>0</v>
      </c>
      <c r="J27" s="277" t="s">
        <v>650</v>
      </c>
      <c r="K27" s="549"/>
      <c r="L27" s="1676"/>
      <c r="M27" s="1676"/>
      <c r="R27" s="1676"/>
      <c r="U27" s="550"/>
      <c r="AA27" s="1672"/>
      <c r="AB27" s="1672"/>
      <c r="AC27" s="1672"/>
      <c r="AD27" s="1672"/>
      <c r="AE27" s="1672"/>
    </row>
    <row s="4607" customFormat="1" customHeight="1" ht="0.75">
      <c r="A28" s="1175"/>
      <c r="D28" s="554"/>
      <c r="E28" s="808" t="str">
        <f>E27&amp;".0"</f>
        <v>2.9.0</v>
      </c>
      <c r="F28" s="998"/>
      <c r="G28" s="557"/>
      <c r="H28" s="999"/>
      <c r="I28" s="999"/>
      <c r="J28" s="1000"/>
    </row>
    <row s="3327" customFormat="1" customHeight="1" ht="18.75">
      <c r="A29" s="994"/>
      <c r="C29" s="1676"/>
      <c r="D29" s="1673"/>
      <c r="E29" s="576"/>
      <c r="F29" s="1706" t="s">
        <v>570</v>
      </c>
      <c r="G29" s="578"/>
      <c r="H29" s="579"/>
      <c r="I29" s="579"/>
      <c r="J29" s="289" t="s">
        <v>651</v>
      </c>
      <c r="K29" s="549"/>
      <c r="L29" s="1676"/>
      <c r="M29" s="1676"/>
      <c r="R29" s="1676"/>
      <c r="U29" s="550"/>
      <c r="AA29" s="1672"/>
      <c r="AB29" s="1672"/>
      <c r="AC29" s="1672"/>
      <c r="AD29" s="1672"/>
      <c r="AE29" s="1672"/>
    </row>
    <row s="3327" customFormat="1" customHeight="1" ht="22.5">
      <c r="A30" s="994"/>
      <c r="C30" s="1676"/>
      <c r="D30" s="1678"/>
      <c r="E30" s="1704" t="s">
        <v>88</v>
      </c>
      <c r="F30" s="1701" t="s">
        <v>699</v>
      </c>
      <c r="G30" s="1694" t="s">
        <v>545</v>
      </c>
      <c r="H30" s="563"/>
      <c r="I30" s="563"/>
      <c r="J30" s="277"/>
      <c r="K30" s="549"/>
      <c r="L30" s="1676"/>
      <c r="M30" s="1676"/>
      <c r="R30" s="1676"/>
      <c r="U30" s="550"/>
      <c r="AA30" s="1672"/>
      <c r="AB30" s="1672"/>
      <c r="AC30" s="1672"/>
      <c r="AD30" s="1672"/>
      <c r="AE30" s="1672"/>
    </row>
    <row s="3327" customFormat="1" customHeight="1" ht="33.75">
      <c r="A31" s="994"/>
      <c r="C31" s="1676"/>
      <c r="D31" s="581"/>
      <c r="E31" s="1704" t="s">
        <v>89</v>
      </c>
      <c r="F31" s="1701" t="s">
        <v>700</v>
      </c>
      <c r="G31" s="1694" t="s">
        <v>545</v>
      </c>
      <c r="H31" s="563"/>
      <c r="I31" s="563"/>
      <c r="J31" s="277" t="s">
        <v>701</v>
      </c>
      <c r="K31" s="549"/>
      <c r="L31" s="1676"/>
      <c r="M31" s="1676"/>
      <c r="R31" s="1676"/>
      <c r="U31" s="550"/>
      <c r="AA31" s="1672"/>
      <c r="AB31" s="1672"/>
      <c r="AC31" s="1672"/>
      <c r="AD31" s="1672"/>
      <c r="AE31" s="1672"/>
    </row>
    <row s="3327" customFormat="1" customHeight="1" ht="22.5">
      <c r="A32" s="994"/>
      <c r="C32" s="1676"/>
      <c r="D32" s="1678"/>
      <c r="E32" s="1704" t="s">
        <v>660</v>
      </c>
      <c r="F32" s="696" t="s">
        <v>664</v>
      </c>
      <c r="G32" s="1694" t="s">
        <v>545</v>
      </c>
      <c r="H32" s="563"/>
      <c r="I32" s="563"/>
      <c r="J32" s="277" t="s">
        <v>702</v>
      </c>
      <c r="K32" s="549"/>
      <c r="L32" s="1676"/>
      <c r="M32" s="1676"/>
      <c r="R32" s="1676"/>
      <c r="U32" s="550"/>
      <c r="AA32" s="1672"/>
      <c r="AB32" s="1672"/>
      <c r="AC32" s="1672"/>
      <c r="AD32" s="1672"/>
      <c r="AE32" s="1672"/>
    </row>
    <row s="3327" customFormat="1" customHeight="1" ht="22.5">
      <c r="A33" s="994"/>
      <c r="C33" s="1676"/>
      <c r="D33" s="1678"/>
      <c r="E33" s="1704" t="s">
        <v>703</v>
      </c>
      <c r="F33" s="696" t="s">
        <v>704</v>
      </c>
      <c r="G33" s="1694" t="s">
        <v>545</v>
      </c>
      <c r="H33" s="563"/>
      <c r="I33" s="563"/>
      <c r="J33" s="277" t="s">
        <v>705</v>
      </c>
      <c r="K33" s="549"/>
      <c r="L33" s="1676"/>
      <c r="M33" s="1676"/>
      <c r="R33" s="1676"/>
      <c r="U33" s="550"/>
      <c r="AA33" s="1672"/>
      <c r="AB33" s="1672"/>
      <c r="AC33" s="1672"/>
      <c r="AD33" s="1672"/>
      <c r="AE33" s="1672"/>
    </row>
    <row s="3327" customFormat="1" customHeight="1" ht="22.5">
      <c r="A34" s="994"/>
      <c r="C34" s="1676"/>
      <c r="D34" s="1678"/>
      <c r="E34" s="1704" t="s">
        <v>706</v>
      </c>
      <c r="F34" s="696" t="s">
        <v>670</v>
      </c>
      <c r="G34" s="1694" t="s">
        <v>545</v>
      </c>
      <c r="H34" s="563"/>
      <c r="I34" s="563"/>
      <c r="J34" s="277" t="s">
        <v>707</v>
      </c>
      <c r="K34" s="549"/>
      <c r="L34" s="1676"/>
      <c r="M34" s="1676"/>
      <c r="R34" s="1676"/>
      <c r="U34" s="550"/>
      <c r="AA34" s="1672"/>
      <c r="AB34" s="1672"/>
      <c r="AC34" s="1672"/>
      <c r="AD34" s="1672"/>
      <c r="AE34" s="1672"/>
    </row>
    <row s="3327" customFormat="1" customHeight="1" ht="33.75">
      <c r="A35" s="994"/>
      <c r="C35" s="1676" t="s">
        <v>581</v>
      </c>
      <c r="D35" s="1678"/>
      <c r="E35" s="1704" t="s">
        <v>109</v>
      </c>
      <c r="F35" s="1701" t="s">
        <v>672</v>
      </c>
      <c r="G35" s="1697" t="s">
        <v>296</v>
      </c>
      <c r="H35" s="407"/>
      <c r="I35" s="407"/>
      <c r="J35" s="277" t="s">
        <v>708</v>
      </c>
      <c r="K35" s="549"/>
      <c r="L35" s="1676"/>
      <c r="M35" s="1676"/>
      <c r="R35" s="1676"/>
      <c r="U35" s="550"/>
      <c r="AA35" s="1672"/>
      <c r="AB35" s="1672"/>
      <c r="AC35" s="1672"/>
      <c r="AD35" s="1672"/>
      <c r="AE35" s="1672"/>
    </row>
    <row s="3327" customFormat="1" customHeight="1" ht="22.5">
      <c r="A36" s="994"/>
      <c r="C36" s="1676"/>
      <c r="D36" s="1678"/>
      <c r="E36" s="1704" t="s">
        <v>90</v>
      </c>
      <c r="F36" s="1701" t="s">
        <v>709</v>
      </c>
      <c r="G36" s="1694" t="s">
        <v>676</v>
      </c>
      <c r="H36" s="551"/>
      <c r="I36" s="551"/>
      <c r="J36" s="277" t="s">
        <v>677</v>
      </c>
      <c r="K36" s="549"/>
      <c r="L36" s="1676"/>
      <c r="M36" s="1676"/>
      <c r="R36" s="1676"/>
      <c r="U36" s="550"/>
      <c r="AA36" s="1672"/>
      <c r="AB36" s="1672"/>
      <c r="AC36" s="1672"/>
      <c r="AD36" s="1672"/>
      <c r="AE36" s="1672"/>
    </row>
    <row s="3327" customFormat="1" customHeight="1" ht="22.5">
      <c r="A37" s="994"/>
      <c r="C37" s="1676"/>
      <c r="D37" s="1678"/>
      <c r="E37" s="1704" t="s">
        <v>91</v>
      </c>
      <c r="F37" s="1701" t="s">
        <v>710</v>
      </c>
      <c r="G37" s="1694" t="s">
        <v>679</v>
      </c>
      <c r="H37" s="551"/>
      <c r="I37" s="551"/>
      <c r="J37" s="277" t="s">
        <v>680</v>
      </c>
      <c r="K37" s="549"/>
      <c r="L37" s="1676"/>
      <c r="M37" s="1676"/>
      <c r="R37" s="1676"/>
      <c r="U37" s="550"/>
      <c r="AA37" s="1672"/>
      <c r="AB37" s="1672"/>
      <c r="AC37" s="1672"/>
      <c r="AD37" s="1672"/>
      <c r="AE37" s="1672"/>
    </row>
    <row customHeight="1" ht="11.25">
      <c r="D38" s="1678"/>
    </row>
    <row customHeight="1" ht="26.25">
      <c r="D39" s="1678"/>
      <c r="E39" s="1273" t="s">
        <v>711</v>
      </c>
      <c r="F39" s="2106" t="s">
        <v>712</v>
      </c>
      <c r="G39" s="2106"/>
      <c r="H39" s="2106"/>
      <c r="I39" s="2106"/>
      <c r="J39" s="2106"/>
    </row>
    <row s="4643" customFormat="1" customHeight="1" ht="37.5">
      <c r="A40" s="994"/>
      <c r="B40" s="1676"/>
      <c r="C40" s="1676"/>
      <c r="D40" s="347"/>
      <c r="F40" s="2106" t="s">
        <v>713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64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64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64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64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64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64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64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64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64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64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64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64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64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64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64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64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64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64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64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64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64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64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64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64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64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64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64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64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64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64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64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64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64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64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64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64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64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64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64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64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64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64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64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64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64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64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64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64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64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64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64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64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64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64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64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64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64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64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64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64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64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64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64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64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64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64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64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64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64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64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64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64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64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64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64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64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64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64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64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64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64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64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64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64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64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64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64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64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64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64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64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64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64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64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64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64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64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64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64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64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64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64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64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64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64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64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64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64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64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64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64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64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64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64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64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64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64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64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64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64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64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64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64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64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64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64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64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64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64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64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64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64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64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64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64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64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64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64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64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64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64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64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64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64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64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64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64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64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64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64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64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64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64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64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64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ED65B-E9F5-10F3-8C3A-707304D33A3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818" width="9.140625" hidden="1" customWidth="1"/>
    <col min="2" max="2" style="2612" width="3.57421875" hidden="1" customWidth="1"/>
    <col min="3" max="3" style="3188" width="3.7109375" customWidth="1"/>
    <col min="4" max="4" style="3188" width="7.7109375" customWidth="1"/>
    <col min="5" max="5" style="3188" width="69.8515625" customWidth="1"/>
    <col min="6" max="6" style="3188" width="11.140625" customWidth="1"/>
    <col min="7" max="8" style="3188" width="44.00390625" hidden="1" customWidth="1"/>
    <col min="9" max="10" style="2624" width="44.00390625" customWidth="1"/>
    <col min="11" max="11" style="3188" width="74.00390625" customWidth="1"/>
    <col min="12" max="12" style="3188" width="3.7109375" customWidth="1"/>
    <col min="13" max="23" style="3188"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МУП "Водоканал"</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290</v>
      </c>
      <c r="E10" s="1956"/>
      <c r="F10" s="1956"/>
      <c r="G10" s="1956"/>
      <c r="H10" s="1956"/>
      <c r="I10" s="1956"/>
      <c r="J10" s="1957"/>
      <c r="K10" s="2036"/>
      <c r="L10" s="515"/>
    </row>
    <row s="2628" customFormat="1" customHeight="1" ht="22.5">
      <c r="A11" s="2233"/>
      <c r="B11" s="2233"/>
      <c r="C11" s="663"/>
      <c r="D11" s="709" t="s">
        <v>86</v>
      </c>
      <c r="E11" s="711" t="s">
        <v>714</v>
      </c>
      <c r="F11" s="711" t="s">
        <v>559</v>
      </c>
      <c r="G11" s="471" t="s">
        <v>293</v>
      </c>
      <c r="H11" s="471" t="s">
        <v>382</v>
      </c>
      <c r="I11" s="813" t="s">
        <v>293</v>
      </c>
      <c r="J11" s="814" t="s">
        <v>382</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715</v>
      </c>
      <c r="D13" s="960" t="s">
        <v>107</v>
      </c>
      <c r="E13" s="267" t="s">
        <v>716</v>
      </c>
      <c r="F13" s="666" t="s">
        <v>717</v>
      </c>
      <c r="G13" s="563"/>
      <c r="H13" s="667"/>
      <c r="I13" s="563"/>
      <c r="J13" s="667"/>
      <c r="K13" s="277" t="s">
        <v>718</v>
      </c>
      <c r="L13" s="726"/>
    </row>
    <row customHeight="1" ht="22.5" hidden="1">
      <c r="A14" s="2232"/>
      <c r="D14" s="545" t="s">
        <v>108</v>
      </c>
      <c r="E14" s="267" t="s">
        <v>719</v>
      </c>
      <c r="F14" s="666" t="s">
        <v>720</v>
      </c>
      <c r="G14" s="563"/>
      <c r="H14" s="668"/>
      <c r="I14" s="563"/>
      <c r="J14" s="668"/>
      <c r="K14" s="277" t="s">
        <v>721</v>
      </c>
      <c r="L14" s="726"/>
    </row>
    <row s="2624" customFormat="1" customHeight="1" ht="78.75" hidden="1">
      <c r="A15" s="2232"/>
      <c r="B15" s="517"/>
      <c r="D15" s="960" t="s">
        <v>88</v>
      </c>
      <c r="E15" s="713" t="s">
        <v>722</v>
      </c>
      <c r="F15" s="957" t="s">
        <v>296</v>
      </c>
      <c r="G15" s="957" t="s">
        <v>296</v>
      </c>
      <c r="H15" s="92"/>
      <c r="I15" s="957" t="s">
        <v>296</v>
      </c>
      <c r="J15" s="92"/>
      <c r="K15" s="277" t="s">
        <v>723</v>
      </c>
      <c r="L15" s="726"/>
    </row>
    <row s="2624" customFormat="1" customHeight="1" ht="22.5" hidden="1">
      <c r="A16" s="2232"/>
      <c r="B16" s="517"/>
      <c r="D16" s="960" t="s">
        <v>316</v>
      </c>
      <c r="E16" s="961" t="s">
        <v>724</v>
      </c>
      <c r="F16" s="957" t="s">
        <v>725</v>
      </c>
      <c r="G16" s="823"/>
      <c r="H16" s="92"/>
      <c r="I16" s="823"/>
      <c r="J16" s="92"/>
      <c r="K16" s="277"/>
      <c r="L16" s="726"/>
    </row>
    <row s="2624" customFormat="1" customHeight="1" ht="22.5" hidden="1">
      <c r="A17" s="2232"/>
      <c r="B17" s="517"/>
      <c r="D17" s="960" t="s">
        <v>324</v>
      </c>
      <c r="E17" s="961" t="s">
        <v>726</v>
      </c>
      <c r="F17" s="957" t="s">
        <v>727</v>
      </c>
      <c r="G17" s="823"/>
      <c r="H17" s="92"/>
      <c r="I17" s="823"/>
      <c r="J17" s="92"/>
      <c r="K17" s="277"/>
      <c r="L17" s="726"/>
    </row>
    <row s="2624" customFormat="1" customHeight="1" ht="33.75" hidden="1">
      <c r="A18" s="2232"/>
      <c r="B18" s="517"/>
      <c r="D18" s="960" t="s">
        <v>326</v>
      </c>
      <c r="E18" s="961" t="s">
        <v>728</v>
      </c>
      <c r="F18" s="957" t="s">
        <v>564</v>
      </c>
      <c r="G18" s="686"/>
      <c r="H18" s="92"/>
      <c r="I18" s="686"/>
      <c r="J18" s="92"/>
      <c r="K18" s="277"/>
      <c r="L18" s="726"/>
    </row>
    <row customHeight="1" ht="101.25" hidden="1">
      <c r="A19" s="2232"/>
      <c r="D19" s="960" t="s">
        <v>89</v>
      </c>
      <c r="E19" s="267" t="s">
        <v>729</v>
      </c>
      <c r="F19" s="666" t="s">
        <v>539</v>
      </c>
      <c r="G19" s="669"/>
      <c r="H19" s="668"/>
      <c r="I19" s="962"/>
      <c r="J19" s="668"/>
      <c r="K19" s="277" t="s">
        <v>730</v>
      </c>
      <c r="L19" s="726"/>
    </row>
    <row s="2624" customFormat="1" customHeight="1" ht="18.75" hidden="1">
      <c r="A20" s="2232"/>
      <c r="C20" s="963"/>
      <c r="D20" s="960" t="s">
        <v>660</v>
      </c>
      <c r="E20" s="961" t="s">
        <v>731</v>
      </c>
      <c r="F20" s="957" t="s">
        <v>296</v>
      </c>
      <c r="G20" s="957" t="s">
        <v>296</v>
      </c>
      <c r="H20" s="956" t="s">
        <v>296</v>
      </c>
      <c r="I20" s="957" t="s">
        <v>296</v>
      </c>
      <c r="J20" s="956" t="s">
        <v>296</v>
      </c>
      <c r="K20" s="955"/>
      <c r="L20" s="726"/>
      <c r="W20" s="681"/>
    </row>
    <row s="2624" customFormat="1" customHeight="1" ht="33.75" hidden="1">
      <c r="A21" s="2232"/>
      <c r="C21" s="963"/>
      <c r="D21" s="960" t="s">
        <v>663</v>
      </c>
      <c r="E21" s="582" t="s">
        <v>732</v>
      </c>
      <c r="F21" s="957" t="s">
        <v>733</v>
      </c>
      <c r="G21" s="949"/>
      <c r="H21" s="92"/>
      <c r="I21" s="949"/>
      <c r="J21" s="92"/>
      <c r="K21" s="955"/>
      <c r="L21" s="726"/>
      <c r="W21" s="681"/>
    </row>
    <row s="2624" customFormat="1" customHeight="1" ht="33.75" hidden="1">
      <c r="A22" s="2232"/>
      <c r="C22" s="963"/>
      <c r="D22" s="960" t="s">
        <v>666</v>
      </c>
      <c r="E22" s="582" t="s">
        <v>734</v>
      </c>
      <c r="F22" s="957" t="s">
        <v>735</v>
      </c>
      <c r="G22" s="949"/>
      <c r="H22" s="92"/>
      <c r="I22" s="949"/>
      <c r="J22" s="92"/>
      <c r="K22" s="955"/>
      <c r="L22" s="726"/>
      <c r="W22" s="681"/>
    </row>
    <row s="2624" customFormat="1" customHeight="1" ht="22.5" hidden="1">
      <c r="A23" s="2232"/>
      <c r="C23" s="963"/>
      <c r="D23" s="960" t="s">
        <v>703</v>
      </c>
      <c r="E23" s="961" t="s">
        <v>736</v>
      </c>
      <c r="F23" s="957" t="s">
        <v>296</v>
      </c>
      <c r="G23" s="957" t="s">
        <v>296</v>
      </c>
      <c r="H23" s="956" t="s">
        <v>296</v>
      </c>
      <c r="I23" s="957" t="s">
        <v>296</v>
      </c>
      <c r="J23" s="956" t="s">
        <v>296</v>
      </c>
      <c r="K23" s="955"/>
      <c r="L23" s="726"/>
      <c r="W23" s="681"/>
    </row>
    <row s="2624" customFormat="1" customHeight="1" ht="22.5" hidden="1">
      <c r="A24" s="2232"/>
      <c r="C24" s="963"/>
      <c r="D24" s="960" t="s">
        <v>737</v>
      </c>
      <c r="E24" s="582" t="s">
        <v>738</v>
      </c>
      <c r="F24" s="957" t="s">
        <v>739</v>
      </c>
      <c r="G24" s="949"/>
      <c r="H24" s="692"/>
      <c r="I24" s="949"/>
      <c r="J24" s="692"/>
      <c r="K24" s="955"/>
      <c r="L24" s="726"/>
      <c r="W24" s="681"/>
    </row>
    <row s="2624" customFormat="1" customHeight="1" ht="22.5" hidden="1">
      <c r="A25" s="2232"/>
      <c r="C25" s="963"/>
      <c r="D25" s="960" t="s">
        <v>740</v>
      </c>
      <c r="E25" s="582" t="s">
        <v>741</v>
      </c>
      <c r="F25" s="957" t="s">
        <v>296</v>
      </c>
      <c r="G25" s="957" t="s">
        <v>296</v>
      </c>
      <c r="H25" s="956" t="s">
        <v>296</v>
      </c>
      <c r="I25" s="957" t="s">
        <v>296</v>
      </c>
      <c r="J25" s="956" t="s">
        <v>296</v>
      </c>
      <c r="K25" s="955"/>
      <c r="L25" s="726"/>
      <c r="W25" s="681"/>
    </row>
    <row s="2624" customFormat="1" customHeight="1" ht="18.75" hidden="1">
      <c r="A26" s="2232"/>
      <c r="C26" s="963"/>
      <c r="D26" s="960" t="s">
        <v>742</v>
      </c>
      <c r="E26" s="559" t="s">
        <v>743</v>
      </c>
      <c r="F26" s="957" t="s">
        <v>744</v>
      </c>
      <c r="G26" s="686"/>
      <c r="H26" s="692"/>
      <c r="I26" s="686"/>
      <c r="J26" s="692"/>
      <c r="K26" s="955"/>
      <c r="L26" s="726"/>
      <c r="W26" s="681"/>
    </row>
    <row s="2624" customFormat="1" customHeight="1" ht="18.75" hidden="1">
      <c r="A27" s="2232"/>
      <c r="C27" s="963"/>
      <c r="D27" s="960" t="s">
        <v>745</v>
      </c>
      <c r="E27" s="559" t="s">
        <v>746</v>
      </c>
      <c r="F27" s="957" t="s">
        <v>747</v>
      </c>
      <c r="G27" s="686"/>
      <c r="H27" s="692"/>
      <c r="I27" s="686"/>
      <c r="J27" s="692"/>
      <c r="K27" s="955"/>
      <c r="L27" s="726"/>
      <c r="W27" s="681"/>
    </row>
    <row s="2624" customFormat="1" customHeight="1" ht="18.75" hidden="1">
      <c r="A28" s="2232"/>
      <c r="C28" s="963"/>
      <c r="D28" s="960" t="s">
        <v>748</v>
      </c>
      <c r="E28" s="582" t="s">
        <v>749</v>
      </c>
      <c r="F28" s="957" t="s">
        <v>296</v>
      </c>
      <c r="G28" s="957" t="s">
        <v>296</v>
      </c>
      <c r="H28" s="956" t="s">
        <v>296</v>
      </c>
      <c r="I28" s="957" t="s">
        <v>296</v>
      </c>
      <c r="J28" s="956" t="s">
        <v>296</v>
      </c>
      <c r="K28" s="955"/>
      <c r="L28" s="726"/>
      <c r="W28" s="681"/>
    </row>
    <row s="2624" customFormat="1" customHeight="1" ht="18.75" hidden="1">
      <c r="A29" s="2232"/>
      <c r="C29" s="963"/>
      <c r="D29" s="960" t="s">
        <v>750</v>
      </c>
      <c r="E29" s="559" t="s">
        <v>743</v>
      </c>
      <c r="F29" s="957" t="s">
        <v>751</v>
      </c>
      <c r="G29" s="686"/>
      <c r="H29" s="692"/>
      <c r="I29" s="686"/>
      <c r="J29" s="692"/>
      <c r="K29" s="955"/>
      <c r="L29" s="726"/>
      <c r="W29" s="681"/>
    </row>
    <row s="2624" customFormat="1" customHeight="1" ht="18.75" hidden="1">
      <c r="A30" s="2232"/>
      <c r="C30" s="963"/>
      <c r="D30" s="960" t="s">
        <v>752</v>
      </c>
      <c r="E30" s="559" t="s">
        <v>753</v>
      </c>
      <c r="F30" s="957" t="s">
        <v>754</v>
      </c>
      <c r="G30" s="686"/>
      <c r="H30" s="692"/>
      <c r="I30" s="686"/>
      <c r="J30" s="692"/>
      <c r="K30" s="955"/>
      <c r="L30" s="726"/>
      <c r="W30" s="681"/>
    </row>
    <row customHeight="1" ht="126.75" hidden="1">
      <c r="A31" s="2232"/>
      <c r="D31" s="960" t="s">
        <v>109</v>
      </c>
      <c r="E31" s="267" t="s">
        <v>755</v>
      </c>
      <c r="F31" s="666" t="s">
        <v>551</v>
      </c>
      <c r="G31" s="563"/>
      <c r="H31" s="668"/>
      <c r="I31" s="563"/>
      <c r="J31" s="668"/>
      <c r="K31" s="277" t="s">
        <v>756</v>
      </c>
      <c r="L31" s="726"/>
    </row>
    <row customHeight="1" ht="56.25" hidden="1">
      <c r="A32" s="2232"/>
      <c r="D32" s="960" t="s">
        <v>90</v>
      </c>
      <c r="E32" s="267" t="s">
        <v>757</v>
      </c>
      <c r="F32" s="545" t="s">
        <v>727</v>
      </c>
      <c r="G32" s="563"/>
      <c r="H32" s="668"/>
      <c r="I32" s="563"/>
      <c r="J32" s="668"/>
      <c r="K32" s="277" t="s">
        <v>758</v>
      </c>
      <c r="L32" s="726"/>
    </row>
    <row customHeight="1" ht="11.25" hidden="1">
      <c r="A33" s="2232"/>
      <c r="E33" s="670"/>
      <c r="F33" s="167"/>
      <c r="G33" s="167"/>
      <c r="H33" s="167"/>
      <c r="I33" s="167"/>
      <c r="J33" s="167"/>
      <c r="K33" s="167"/>
    </row>
    <row customHeight="1" ht="12.75" hidden="1">
      <c r="A34" s="2232"/>
      <c r="D34" s="49">
        <v>1</v>
      </c>
      <c r="E34" s="331" t="s">
        <v>759</v>
      </c>
    </row>
    <row customHeight="1" ht="11.25" hidden="1">
      <c r="A35" s="2232"/>
      <c r="D35" s="369"/>
      <c r="E35" s="331" t="s">
        <v>760</v>
      </c>
    </row>
    <row s="2628" customFormat="1" customHeight="1" ht="11.25">
      <c r="A36" s="1040"/>
      <c r="B36" s="524"/>
      <c r="D36" s="1041"/>
      <c r="E36" s="1042"/>
    </row>
    <row s="2624" customFormat="1" customHeight="1" ht="22.5" hidden="1">
      <c r="A37" s="2232" t="s">
        <v>761</v>
      </c>
      <c r="B37" s="517"/>
      <c r="D37" s="960">
        <v>1</v>
      </c>
      <c r="E37" s="713" t="s">
        <v>762</v>
      </c>
      <c r="F37" s="666" t="s">
        <v>717</v>
      </c>
      <c r="G37" s="563"/>
      <c r="H37" s="525"/>
      <c r="I37" s="563"/>
      <c r="J37" s="525"/>
      <c r="K37" s="277" t="s">
        <v>763</v>
      </c>
    </row>
    <row s="2624" customFormat="1" customHeight="1" ht="22.5" hidden="1">
      <c r="A38" s="2232"/>
      <c r="B38" s="517"/>
      <c r="D38" s="675" t="s">
        <v>108</v>
      </c>
      <c r="E38" s="1039" t="s">
        <v>764</v>
      </c>
      <c r="F38" s="1043" t="s">
        <v>539</v>
      </c>
      <c r="G38" s="1043" t="s">
        <v>539</v>
      </c>
      <c r="H38" s="1037"/>
      <c r="I38" s="1043" t="s">
        <v>539</v>
      </c>
      <c r="J38" s="1037"/>
      <c r="K38" s="1038"/>
    </row>
    <row s="2624" customFormat="1" customHeight="1" ht="33.75" hidden="1">
      <c r="A39" s="2232"/>
      <c r="B39" s="517"/>
      <c r="D39" s="671" t="s">
        <v>618</v>
      </c>
      <c r="E39" s="729" t="s">
        <v>765</v>
      </c>
      <c r="F39" s="666" t="s">
        <v>766</v>
      </c>
      <c r="G39" s="674"/>
      <c r="H39" s="1030"/>
      <c r="I39" s="674"/>
      <c r="J39" s="1030"/>
      <c r="K39" s="277" t="s">
        <v>767</v>
      </c>
    </row>
    <row s="2624" customFormat="1" customHeight="1" ht="33.75" hidden="1">
      <c r="A40" s="2232"/>
      <c r="B40" s="517"/>
      <c r="D40" s="671" t="s">
        <v>621</v>
      </c>
      <c r="E40" s="729" t="s">
        <v>768</v>
      </c>
      <c r="F40" s="1034" t="s">
        <v>769</v>
      </c>
      <c r="G40" s="747"/>
      <c r="H40" s="1030"/>
      <c r="I40" s="747"/>
      <c r="J40" s="1030"/>
      <c r="K40" s="277" t="s">
        <v>770</v>
      </c>
    </row>
    <row s="2624" customFormat="1" customHeight="1" ht="22.5" hidden="1">
      <c r="A41" s="2232"/>
      <c r="B41" s="517"/>
      <c r="D41" s="671" t="s">
        <v>88</v>
      </c>
      <c r="E41" s="728" t="s">
        <v>771</v>
      </c>
      <c r="F41" s="666" t="s">
        <v>539</v>
      </c>
      <c r="G41" s="666" t="s">
        <v>539</v>
      </c>
      <c r="H41" s="1031"/>
      <c r="I41" s="666" t="s">
        <v>539</v>
      </c>
      <c r="J41" s="1031"/>
      <c r="K41" s="290"/>
    </row>
    <row s="2624" customFormat="1" customHeight="1" ht="45" hidden="1">
      <c r="A42" s="2232"/>
      <c r="B42" s="517"/>
      <c r="D42" s="671" t="s">
        <v>316</v>
      </c>
      <c r="E42" s="729" t="s">
        <v>772</v>
      </c>
      <c r="F42" s="666" t="s">
        <v>551</v>
      </c>
      <c r="G42" s="563"/>
      <c r="H42" s="1031"/>
      <c r="I42" s="563"/>
      <c r="J42" s="1031"/>
      <c r="K42" s="290" t="s">
        <v>773</v>
      </c>
    </row>
    <row s="2624" customFormat="1" customHeight="1" ht="45" hidden="1">
      <c r="A43" s="2232"/>
      <c r="B43" s="517"/>
      <c r="D43" s="671" t="s">
        <v>324</v>
      </c>
      <c r="E43" s="673" t="s">
        <v>774</v>
      </c>
      <c r="F43" s="1035" t="s">
        <v>551</v>
      </c>
      <c r="G43" s="748"/>
      <c r="H43" s="1030"/>
      <c r="I43" s="748"/>
      <c r="J43" s="1030"/>
      <c r="K43" s="290" t="s">
        <v>775</v>
      </c>
    </row>
    <row s="2624" customFormat="1" customHeight="1" ht="11.25" hidden="1">
      <c r="A44" s="2232"/>
      <c r="B44" s="517"/>
      <c r="D44" s="671" t="s">
        <v>89</v>
      </c>
      <c r="E44" s="672" t="s">
        <v>776</v>
      </c>
      <c r="F44" s="666" t="s">
        <v>766</v>
      </c>
      <c r="G44" s="674"/>
      <c r="H44" s="1030"/>
      <c r="I44" s="674"/>
      <c r="J44" s="1030"/>
      <c r="K44" s="277"/>
    </row>
    <row s="2624" customFormat="1" customHeight="1" ht="11.25" hidden="1">
      <c r="A45" s="2232"/>
      <c r="B45" s="517"/>
      <c r="D45" s="671" t="s">
        <v>660</v>
      </c>
      <c r="E45" s="673" t="s">
        <v>777</v>
      </c>
      <c r="F45" s="666" t="s">
        <v>766</v>
      </c>
      <c r="G45" s="674"/>
      <c r="H45" s="1030"/>
      <c r="I45" s="674"/>
      <c r="J45" s="1030"/>
      <c r="K45" s="277"/>
    </row>
    <row s="2624" customFormat="1" customHeight="1" ht="11.25" hidden="1">
      <c r="A46" s="2232"/>
      <c r="B46" s="517"/>
      <c r="D46" s="671" t="s">
        <v>703</v>
      </c>
      <c r="E46" s="673" t="s">
        <v>778</v>
      </c>
      <c r="F46" s="666" t="s">
        <v>766</v>
      </c>
      <c r="G46" s="674"/>
      <c r="H46" s="1030"/>
      <c r="I46" s="674"/>
      <c r="J46" s="1030"/>
      <c r="K46" s="277"/>
    </row>
    <row s="2624" customFormat="1" customHeight="1" ht="11.25" hidden="1">
      <c r="A47" s="2232"/>
      <c r="B47" s="517"/>
      <c r="D47" s="671" t="s">
        <v>706</v>
      </c>
      <c r="E47" s="673" t="s">
        <v>779</v>
      </c>
      <c r="F47" s="666" t="s">
        <v>766</v>
      </c>
      <c r="G47" s="674"/>
      <c r="H47" s="1030"/>
      <c r="I47" s="674"/>
      <c r="J47" s="1030"/>
      <c r="K47" s="277"/>
    </row>
    <row s="2624" customFormat="1" customHeight="1" ht="11.25" hidden="1">
      <c r="A48" s="2232"/>
      <c r="B48" s="517"/>
      <c r="D48" s="671" t="s">
        <v>780</v>
      </c>
      <c r="E48" s="677" t="s">
        <v>781</v>
      </c>
      <c r="F48" s="666" t="s">
        <v>766</v>
      </c>
      <c r="G48" s="674"/>
      <c r="H48" s="1030"/>
      <c r="I48" s="674"/>
      <c r="J48" s="1030"/>
      <c r="K48" s="277"/>
    </row>
    <row s="2624" customFormat="1" customHeight="1" ht="11.25" hidden="1">
      <c r="A49" s="2232"/>
      <c r="B49" s="517"/>
      <c r="D49" s="671" t="s">
        <v>782</v>
      </c>
      <c r="E49" s="677" t="s">
        <v>783</v>
      </c>
      <c r="F49" s="666" t="s">
        <v>766</v>
      </c>
      <c r="G49" s="674"/>
      <c r="H49" s="1030"/>
      <c r="I49" s="674"/>
      <c r="J49" s="1030"/>
      <c r="K49" s="277"/>
    </row>
    <row s="2624" customFormat="1" customHeight="1" ht="11.25" hidden="1">
      <c r="A50" s="2232"/>
      <c r="B50" s="517"/>
      <c r="D50" s="671" t="s">
        <v>784</v>
      </c>
      <c r="E50" s="673" t="s">
        <v>785</v>
      </c>
      <c r="F50" s="666" t="s">
        <v>766</v>
      </c>
      <c r="G50" s="674"/>
      <c r="H50" s="1030"/>
      <c r="I50" s="674"/>
      <c r="J50" s="1030"/>
      <c r="K50" s="277"/>
    </row>
    <row s="2624" customFormat="1" customHeight="1" ht="11.25" hidden="1">
      <c r="A51" s="2232"/>
      <c r="B51" s="517"/>
      <c r="D51" s="671" t="s">
        <v>786</v>
      </c>
      <c r="E51" s="673" t="s">
        <v>787</v>
      </c>
      <c r="F51" s="666" t="s">
        <v>766</v>
      </c>
      <c r="G51" s="674"/>
      <c r="H51" s="1030"/>
      <c r="I51" s="674"/>
      <c r="J51" s="1030"/>
      <c r="K51" s="277"/>
    </row>
    <row s="2624" customFormat="1" customHeight="1" ht="45" hidden="1">
      <c r="A52" s="2232"/>
      <c r="B52" s="517"/>
      <c r="D52" s="671" t="s">
        <v>109</v>
      </c>
      <c r="E52" s="672" t="s">
        <v>788</v>
      </c>
      <c r="F52" s="666" t="s">
        <v>766</v>
      </c>
      <c r="G52" s="674"/>
      <c r="H52" s="1030"/>
      <c r="I52" s="674"/>
      <c r="J52" s="1030"/>
      <c r="K52" s="277"/>
    </row>
    <row s="2624" customFormat="1" customHeight="1" ht="11.25" hidden="1">
      <c r="A53" s="2232"/>
      <c r="B53" s="517"/>
      <c r="D53" s="671" t="s">
        <v>305</v>
      </c>
      <c r="E53" s="673" t="s">
        <v>777</v>
      </c>
      <c r="F53" s="666" t="s">
        <v>766</v>
      </c>
      <c r="G53" s="674"/>
      <c r="H53" s="1030"/>
      <c r="I53" s="674"/>
      <c r="J53" s="1030"/>
      <c r="K53" s="277"/>
    </row>
    <row s="2624" customFormat="1" customHeight="1" ht="11.25" hidden="1">
      <c r="A54" s="2232"/>
      <c r="B54" s="517"/>
      <c r="D54" s="671" t="s">
        <v>307</v>
      </c>
      <c r="E54" s="673" t="s">
        <v>778</v>
      </c>
      <c r="F54" s="666" t="s">
        <v>766</v>
      </c>
      <c r="G54" s="674"/>
      <c r="H54" s="1030"/>
      <c r="I54" s="674"/>
      <c r="J54" s="1030"/>
      <c r="K54" s="277"/>
    </row>
    <row s="2624" customFormat="1" customHeight="1" ht="11.25" hidden="1">
      <c r="A55" s="2232"/>
      <c r="B55" s="517"/>
      <c r="D55" s="671" t="s">
        <v>310</v>
      </c>
      <c r="E55" s="673" t="s">
        <v>779</v>
      </c>
      <c r="F55" s="666" t="s">
        <v>766</v>
      </c>
      <c r="G55" s="674"/>
      <c r="H55" s="1030"/>
      <c r="I55" s="674"/>
      <c r="J55" s="1030"/>
      <c r="K55" s="277"/>
    </row>
    <row s="2624" customFormat="1" customHeight="1" ht="11.25" hidden="1">
      <c r="A56" s="2232"/>
      <c r="B56" s="517"/>
      <c r="D56" s="671" t="s">
        <v>789</v>
      </c>
      <c r="E56" s="677" t="s">
        <v>781</v>
      </c>
      <c r="F56" s="666" t="s">
        <v>766</v>
      </c>
      <c r="G56" s="674"/>
      <c r="H56" s="1030"/>
      <c r="I56" s="674"/>
      <c r="J56" s="1030"/>
      <c r="K56" s="277"/>
    </row>
    <row s="2624" customFormat="1" customHeight="1" ht="11.25" hidden="1">
      <c r="A57" s="2232"/>
      <c r="B57" s="517"/>
      <c r="D57" s="671" t="s">
        <v>790</v>
      </c>
      <c r="E57" s="677" t="s">
        <v>783</v>
      </c>
      <c r="F57" s="666" t="s">
        <v>766</v>
      </c>
      <c r="G57" s="674"/>
      <c r="H57" s="1030"/>
      <c r="I57" s="674"/>
      <c r="J57" s="1030"/>
      <c r="K57" s="277"/>
    </row>
    <row s="2624" customFormat="1" customHeight="1" ht="11.25" hidden="1">
      <c r="A58" s="2232"/>
      <c r="B58" s="517"/>
      <c r="D58" s="671" t="s">
        <v>312</v>
      </c>
      <c r="E58" s="673" t="s">
        <v>785</v>
      </c>
      <c r="F58" s="666" t="s">
        <v>766</v>
      </c>
      <c r="G58" s="674"/>
      <c r="H58" s="1030"/>
      <c r="I58" s="674"/>
      <c r="J58" s="1030"/>
      <c r="K58" s="277"/>
    </row>
    <row s="2624" customFormat="1" customHeight="1" ht="11.25" hidden="1">
      <c r="A59" s="2232"/>
      <c r="B59" s="517"/>
      <c r="D59" s="671" t="s">
        <v>791</v>
      </c>
      <c r="E59" s="673" t="s">
        <v>787</v>
      </c>
      <c r="F59" s="666" t="s">
        <v>766</v>
      </c>
      <c r="G59" s="674"/>
      <c r="H59" s="1030"/>
      <c r="I59" s="674"/>
      <c r="J59" s="1030"/>
      <c r="K59" s="277"/>
    </row>
    <row s="2624" customFormat="1" customHeight="1" ht="33.75" hidden="1">
      <c r="A60" s="2232"/>
      <c r="B60" s="517"/>
      <c r="D60" s="671" t="s">
        <v>90</v>
      </c>
      <c r="E60" s="672" t="s">
        <v>792</v>
      </c>
      <c r="F60" s="727" t="s">
        <v>551</v>
      </c>
      <c r="G60" s="748"/>
      <c r="H60" s="1030"/>
      <c r="I60" s="748"/>
      <c r="J60" s="1030"/>
      <c r="K60" s="290" t="s">
        <v>793</v>
      </c>
    </row>
    <row s="2624" customFormat="1" customHeight="1" ht="33.75" hidden="1">
      <c r="A61" s="2232"/>
      <c r="B61" s="517"/>
      <c r="D61" s="671" t="s">
        <v>91</v>
      </c>
      <c r="E61" s="672" t="s">
        <v>794</v>
      </c>
      <c r="F61" s="732" t="s">
        <v>727</v>
      </c>
      <c r="G61" s="674"/>
      <c r="H61" s="1030"/>
      <c r="I61" s="674"/>
      <c r="J61" s="1030"/>
      <c r="K61" s="277"/>
    </row>
    <row s="2624" customFormat="1" customHeight="1" ht="22.5" hidden="1">
      <c r="A62" s="2232"/>
      <c r="B62" s="517" t="s">
        <v>581</v>
      </c>
      <c r="D62" s="671" t="s">
        <v>110</v>
      </c>
      <c r="E62" s="672" t="s">
        <v>795</v>
      </c>
      <c r="F62" s="732" t="s">
        <v>296</v>
      </c>
      <c r="G62" s="388"/>
      <c r="H62" s="1030"/>
      <c r="I62" s="388"/>
      <c r="J62" s="1030"/>
      <c r="K62" s="277" t="s">
        <v>796</v>
      </c>
    </row>
    <row s="2624" customFormat="1" customHeight="1" ht="45" hidden="1">
      <c r="A63" s="2232"/>
      <c r="B63" s="517" t="s">
        <v>581</v>
      </c>
      <c r="D63" s="671" t="s">
        <v>797</v>
      </c>
      <c r="E63" s="673" t="s">
        <v>798</v>
      </c>
      <c r="F63" s="727" t="s">
        <v>296</v>
      </c>
      <c r="G63" s="388"/>
      <c r="H63" s="1030"/>
      <c r="I63" s="388"/>
      <c r="J63" s="1030"/>
      <c r="K63" s="277" t="s">
        <v>796</v>
      </c>
    </row>
    <row s="2628" customFormat="1" customHeight="1" ht="11.25">
      <c r="A64" s="1040"/>
      <c r="B64" s="524"/>
      <c r="D64" s="1041"/>
      <c r="E64" s="1042"/>
    </row>
    <row s="2624" customFormat="1" customHeight="1" ht="22.5" hidden="1">
      <c r="A65" s="2232" t="s">
        <v>799</v>
      </c>
      <c r="B65" s="517"/>
      <c r="D65" s="671">
        <v>1</v>
      </c>
      <c r="E65" s="750" t="s">
        <v>800</v>
      </c>
      <c r="F65" s="746" t="s">
        <v>717</v>
      </c>
      <c r="G65" s="747"/>
      <c r="H65" s="1036"/>
      <c r="I65" s="747"/>
      <c r="J65" s="1036"/>
      <c r="K65" s="289" t="s">
        <v>801</v>
      </c>
    </row>
    <row s="2624" customFormat="1" customHeight="1" ht="56.25" hidden="1">
      <c r="A66" s="2232"/>
      <c r="B66" s="517"/>
      <c r="D66" s="749" t="s">
        <v>108</v>
      </c>
      <c r="E66" s="713" t="s">
        <v>802</v>
      </c>
      <c r="F66" s="666" t="s">
        <v>539</v>
      </c>
      <c r="G66" s="666" t="s">
        <v>539</v>
      </c>
      <c r="H66" s="525"/>
      <c r="I66" s="666" t="s">
        <v>539</v>
      </c>
      <c r="J66" s="525"/>
      <c r="K66" s="277"/>
    </row>
    <row s="2624" customFormat="1" customHeight="1" ht="33.75" hidden="1">
      <c r="A67" s="2232"/>
      <c r="B67" s="517"/>
      <c r="D67" s="749" t="s">
        <v>615</v>
      </c>
      <c r="E67" s="961" t="s">
        <v>803</v>
      </c>
      <c r="F67" s="666" t="s">
        <v>769</v>
      </c>
      <c r="G67" s="733"/>
      <c r="H67" s="525"/>
      <c r="I67" s="733"/>
      <c r="J67" s="525"/>
      <c r="K67" s="277"/>
    </row>
    <row s="2624" customFormat="1" customHeight="1" ht="22.5" hidden="1">
      <c r="A68" s="2232"/>
      <c r="B68" s="517"/>
      <c r="D68" s="749" t="s">
        <v>297</v>
      </c>
      <c r="E68" s="961" t="s">
        <v>804</v>
      </c>
      <c r="F68" s="666" t="s">
        <v>769</v>
      </c>
      <c r="G68" s="733"/>
      <c r="H68" s="525"/>
      <c r="I68" s="733"/>
      <c r="J68" s="525"/>
      <c r="K68" s="277"/>
    </row>
    <row s="2624" customFormat="1" customHeight="1" ht="22.5" hidden="1">
      <c r="A69" s="2232"/>
      <c r="B69" s="517"/>
      <c r="D69" s="749" t="s">
        <v>300</v>
      </c>
      <c r="E69" s="961" t="s">
        <v>805</v>
      </c>
      <c r="F69" s="727" t="s">
        <v>551</v>
      </c>
      <c r="G69" s="748"/>
      <c r="H69" s="525"/>
      <c r="I69" s="748"/>
      <c r="J69" s="525"/>
      <c r="K69" s="277"/>
    </row>
    <row s="2624" customFormat="1" customHeight="1" ht="22.5" hidden="1">
      <c r="A70" s="2232"/>
      <c r="B70" s="517"/>
      <c r="D70" s="749" t="s">
        <v>635</v>
      </c>
      <c r="E70" s="961" t="s">
        <v>806</v>
      </c>
      <c r="F70" s="727" t="s">
        <v>551</v>
      </c>
      <c r="G70" s="748"/>
      <c r="H70" s="525"/>
      <c r="I70" s="748"/>
      <c r="J70" s="525"/>
      <c r="K70" s="277"/>
    </row>
    <row s="2624" customFormat="1" customHeight="1" ht="22.5" hidden="1">
      <c r="A71" s="2232"/>
      <c r="B71" s="517"/>
      <c r="D71" s="671" t="s">
        <v>88</v>
      </c>
      <c r="E71" s="672" t="s">
        <v>807</v>
      </c>
      <c r="F71" s="666" t="s">
        <v>769</v>
      </c>
      <c r="G71" s="563"/>
      <c r="H71" s="1037"/>
      <c r="I71" s="563"/>
      <c r="J71" s="1037"/>
      <c r="K71" s="290"/>
    </row>
    <row s="2624" customFormat="1" customHeight="1" ht="56.25" hidden="1">
      <c r="A72" s="2232"/>
      <c r="B72" s="517"/>
      <c r="D72" s="671" t="s">
        <v>89</v>
      </c>
      <c r="E72" s="672" t="s">
        <v>808</v>
      </c>
      <c r="F72" s="727" t="s">
        <v>551</v>
      </c>
      <c r="G72" s="748"/>
      <c r="H72" s="1030"/>
      <c r="I72" s="748"/>
      <c r="J72" s="1030"/>
      <c r="K72" s="290"/>
    </row>
    <row s="2624" customFormat="1" customHeight="1" ht="33.75" hidden="1">
      <c r="A73" s="2232"/>
      <c r="B73" s="517"/>
      <c r="D73" s="671" t="s">
        <v>109</v>
      </c>
      <c r="E73" s="672" t="s">
        <v>809</v>
      </c>
      <c r="F73" s="732" t="s">
        <v>727</v>
      </c>
      <c r="G73" s="674"/>
      <c r="H73" s="1030"/>
      <c r="I73" s="674"/>
      <c r="J73" s="1030"/>
      <c r="K73" s="277"/>
    </row>
    <row s="2624" customFormat="1" customHeight="1" ht="22.5" hidden="1">
      <c r="A74" s="2232"/>
      <c r="B74" s="517" t="s">
        <v>581</v>
      </c>
      <c r="D74" s="671" t="s">
        <v>90</v>
      </c>
      <c r="E74" s="672" t="s">
        <v>810</v>
      </c>
      <c r="F74" s="732" t="s">
        <v>296</v>
      </c>
      <c r="G74" s="388"/>
      <c r="H74" s="1030"/>
      <c r="I74" s="388"/>
      <c r="J74" s="1030"/>
      <c r="K74" s="277" t="s">
        <v>796</v>
      </c>
    </row>
    <row s="2624" customFormat="1" customHeight="1" ht="45" hidden="1">
      <c r="A75" s="2232"/>
      <c r="B75" s="517" t="s">
        <v>581</v>
      </c>
      <c r="D75" s="671" t="s">
        <v>811</v>
      </c>
      <c r="E75" s="673" t="s">
        <v>812</v>
      </c>
      <c r="F75" s="727" t="s">
        <v>296</v>
      </c>
      <c r="G75" s="388"/>
      <c r="H75" s="1030"/>
      <c r="I75" s="388"/>
      <c r="J75" s="1030"/>
      <c r="K75" s="277" t="s">
        <v>796</v>
      </c>
    </row>
    <row s="2628" customFormat="1" customHeight="1" ht="11.25">
      <c r="A76" s="1040"/>
      <c r="B76" s="524"/>
      <c r="D76" s="1041"/>
      <c r="E76" s="1042"/>
    </row>
    <row s="2624" customFormat="1" customHeight="1" ht="11.25">
      <c r="A77" s="2232" t="s">
        <v>813</v>
      </c>
      <c r="B77" s="517"/>
      <c r="D77" s="671">
        <v>1</v>
      </c>
      <c r="E77" s="672" t="s">
        <v>814</v>
      </c>
      <c r="F77" s="727" t="s">
        <v>717</v>
      </c>
      <c r="G77" s="730"/>
      <c r="H77" s="1030"/>
      <c r="I77" s="730"/>
      <c r="J77" s="1030"/>
      <c r="K77" s="277" t="s">
        <v>815</v>
      </c>
    </row>
    <row s="2624" customFormat="1" customHeight="1" ht="11.25">
      <c r="A78" s="2232"/>
      <c r="B78" s="517"/>
      <c r="D78" s="671" t="s">
        <v>108</v>
      </c>
      <c r="E78" s="672" t="s">
        <v>816</v>
      </c>
      <c r="F78" s="727" t="s">
        <v>717</v>
      </c>
      <c r="G78" s="730"/>
      <c r="H78" s="1030"/>
      <c r="I78" s="730"/>
      <c r="J78" s="1030"/>
      <c r="K78" s="277" t="s">
        <v>817</v>
      </c>
    </row>
    <row s="2624" customFormat="1" customHeight="1" ht="22.5">
      <c r="A79" s="2232"/>
      <c r="B79" s="517"/>
      <c r="D79" s="671" t="s">
        <v>88</v>
      </c>
      <c r="E79" s="728" t="s">
        <v>818</v>
      </c>
      <c r="F79" s="666" t="s">
        <v>766</v>
      </c>
      <c r="G79" s="730"/>
      <c r="H79" s="1030"/>
      <c r="I79" s="730"/>
      <c r="J79" s="1030"/>
      <c r="K79" s="277" t="s">
        <v>819</v>
      </c>
    </row>
    <row s="2624" customFormat="1" customHeight="1" ht="11.25">
      <c r="A80" s="2232"/>
      <c r="B80" s="517"/>
      <c r="D80" s="671" t="s">
        <v>316</v>
      </c>
      <c r="E80" s="729" t="s">
        <v>820</v>
      </c>
      <c r="F80" s="666" t="s">
        <v>766</v>
      </c>
      <c r="G80" s="730"/>
      <c r="H80" s="1030"/>
      <c r="I80" s="730"/>
      <c r="J80" s="1030"/>
      <c r="K80" s="277"/>
    </row>
    <row s="2624" customFormat="1" customHeight="1" ht="11.25">
      <c r="A81" s="2232"/>
      <c r="B81" s="517"/>
      <c r="D81" s="671" t="s">
        <v>324</v>
      </c>
      <c r="E81" s="729" t="s">
        <v>821</v>
      </c>
      <c r="F81" s="666" t="s">
        <v>766</v>
      </c>
      <c r="G81" s="730"/>
      <c r="H81" s="1030"/>
      <c r="I81" s="730"/>
      <c r="J81" s="1030"/>
      <c r="K81" s="277"/>
    </row>
    <row s="2624" customFormat="1" customHeight="1" ht="11.25">
      <c r="A82" s="2232"/>
      <c r="B82" s="517"/>
      <c r="D82" s="671" t="s">
        <v>326</v>
      </c>
      <c r="E82" s="729" t="s">
        <v>822</v>
      </c>
      <c r="F82" s="666" t="s">
        <v>766</v>
      </c>
      <c r="G82" s="730"/>
      <c r="H82" s="1030"/>
      <c r="I82" s="730"/>
      <c r="J82" s="1030"/>
      <c r="K82" s="277"/>
    </row>
    <row s="2624" customFormat="1" customHeight="1" ht="11.25">
      <c r="A83" s="2232"/>
      <c r="B83" s="517"/>
      <c r="D83" s="671" t="s">
        <v>328</v>
      </c>
      <c r="E83" s="729" t="s">
        <v>823</v>
      </c>
      <c r="F83" s="666" t="s">
        <v>766</v>
      </c>
      <c r="G83" s="730"/>
      <c r="H83" s="1030"/>
      <c r="I83" s="730"/>
      <c r="J83" s="1030"/>
      <c r="K83" s="277"/>
    </row>
    <row s="2624" customFormat="1" customHeight="1" ht="11.25">
      <c r="A84" s="2232"/>
      <c r="B84" s="517"/>
      <c r="D84" s="671" t="s">
        <v>824</v>
      </c>
      <c r="E84" s="729" t="s">
        <v>825</v>
      </c>
      <c r="F84" s="666" t="s">
        <v>766</v>
      </c>
      <c r="G84" s="730"/>
      <c r="H84" s="1030"/>
      <c r="I84" s="730"/>
      <c r="J84" s="1030"/>
      <c r="K84" s="277"/>
    </row>
    <row s="2624" customFormat="1" customHeight="1" ht="11.25">
      <c r="A85" s="2232"/>
      <c r="B85" s="517"/>
      <c r="D85" s="671" t="s">
        <v>826</v>
      </c>
      <c r="E85" s="729" t="s">
        <v>827</v>
      </c>
      <c r="F85" s="666" t="s">
        <v>766</v>
      </c>
      <c r="G85" s="730"/>
      <c r="H85" s="1030"/>
      <c r="I85" s="730"/>
      <c r="J85" s="1030"/>
      <c r="K85" s="277"/>
    </row>
    <row s="2624" customFormat="1" customHeight="1" ht="11.25">
      <c r="A86" s="2232"/>
      <c r="B86" s="517"/>
      <c r="D86" s="671" t="s">
        <v>828</v>
      </c>
      <c r="E86" s="729" t="s">
        <v>829</v>
      </c>
      <c r="F86" s="666" t="s">
        <v>766</v>
      </c>
      <c r="G86" s="730"/>
      <c r="H86" s="1030"/>
      <c r="I86" s="730"/>
      <c r="J86" s="1030"/>
      <c r="K86" s="277"/>
    </row>
    <row s="2624" customFormat="1" customHeight="1" ht="45">
      <c r="A87" s="2232"/>
      <c r="B87" s="517"/>
      <c r="D87" s="671" t="s">
        <v>89</v>
      </c>
      <c r="E87" s="672" t="s">
        <v>830</v>
      </c>
      <c r="F87" s="666" t="s">
        <v>766</v>
      </c>
      <c r="G87" s="730"/>
      <c r="H87" s="1030"/>
      <c r="I87" s="730"/>
      <c r="J87" s="1030"/>
      <c r="K87" s="277" t="s">
        <v>831</v>
      </c>
    </row>
    <row s="2624" customFormat="1" customHeight="1" ht="11.25">
      <c r="A88" s="2232"/>
      <c r="B88" s="517"/>
      <c r="D88" s="671" t="s">
        <v>660</v>
      </c>
      <c r="E88" s="729" t="s">
        <v>820</v>
      </c>
      <c r="F88" s="666" t="s">
        <v>766</v>
      </c>
      <c r="G88" s="730"/>
      <c r="H88" s="1030"/>
      <c r="I88" s="730"/>
      <c r="J88" s="1030"/>
      <c r="K88" s="277"/>
    </row>
    <row s="2624" customFormat="1" customHeight="1" ht="11.25">
      <c r="A89" s="2232"/>
      <c r="B89" s="517"/>
      <c r="D89" s="671" t="s">
        <v>703</v>
      </c>
      <c r="E89" s="729" t="s">
        <v>821</v>
      </c>
      <c r="F89" s="666" t="s">
        <v>766</v>
      </c>
      <c r="G89" s="730"/>
      <c r="H89" s="1030"/>
      <c r="I89" s="730"/>
      <c r="J89" s="1030"/>
      <c r="K89" s="277"/>
    </row>
    <row s="2624" customFormat="1" customHeight="1" ht="11.25">
      <c r="A90" s="2232"/>
      <c r="B90" s="517"/>
      <c r="D90" s="671" t="s">
        <v>706</v>
      </c>
      <c r="E90" s="729" t="s">
        <v>822</v>
      </c>
      <c r="F90" s="666" t="s">
        <v>766</v>
      </c>
      <c r="G90" s="730"/>
      <c r="H90" s="1030"/>
      <c r="I90" s="730"/>
      <c r="J90" s="1030"/>
      <c r="K90" s="277"/>
    </row>
    <row s="2624" customFormat="1" customHeight="1" ht="11.25">
      <c r="A91" s="2232"/>
      <c r="B91" s="517"/>
      <c r="D91" s="671" t="s">
        <v>784</v>
      </c>
      <c r="E91" s="729" t="s">
        <v>823</v>
      </c>
      <c r="F91" s="666" t="s">
        <v>766</v>
      </c>
      <c r="G91" s="730"/>
      <c r="H91" s="1030"/>
      <c r="I91" s="730"/>
      <c r="J91" s="1030"/>
      <c r="K91" s="277"/>
    </row>
    <row s="2624" customFormat="1" customHeight="1" ht="11.25">
      <c r="A92" s="2232"/>
      <c r="B92" s="517"/>
      <c r="D92" s="671" t="s">
        <v>786</v>
      </c>
      <c r="E92" s="729" t="s">
        <v>825</v>
      </c>
      <c r="F92" s="666" t="s">
        <v>766</v>
      </c>
      <c r="G92" s="730"/>
      <c r="H92" s="1030"/>
      <c r="I92" s="730"/>
      <c r="J92" s="1030"/>
      <c r="K92" s="277"/>
    </row>
    <row s="2624" customFormat="1" customHeight="1" ht="11.25">
      <c r="A93" s="2232"/>
      <c r="B93" s="517"/>
      <c r="D93" s="671" t="s">
        <v>832</v>
      </c>
      <c r="E93" s="729" t="s">
        <v>827</v>
      </c>
      <c r="F93" s="666" t="s">
        <v>766</v>
      </c>
      <c r="G93" s="730"/>
      <c r="H93" s="1030"/>
      <c r="I93" s="730"/>
      <c r="J93" s="1030"/>
      <c r="K93" s="277"/>
    </row>
    <row s="2624" customFormat="1" customHeight="1" ht="11.25">
      <c r="A94" s="2232"/>
      <c r="B94" s="517"/>
      <c r="D94" s="671" t="s">
        <v>833</v>
      </c>
      <c r="E94" s="729" t="s">
        <v>829</v>
      </c>
      <c r="F94" s="666" t="s">
        <v>766</v>
      </c>
      <c r="G94" s="730"/>
      <c r="H94" s="1030"/>
      <c r="I94" s="730"/>
      <c r="J94" s="1030"/>
      <c r="K94" s="277"/>
    </row>
    <row s="2624" customFormat="1" customHeight="1" ht="24.75">
      <c r="A95" s="2232"/>
      <c r="B95" s="517"/>
      <c r="D95" s="671" t="s">
        <v>109</v>
      </c>
      <c r="E95" s="672" t="s">
        <v>834</v>
      </c>
      <c r="F95" s="731" t="s">
        <v>551</v>
      </c>
      <c r="G95" s="733"/>
      <c r="H95" s="1030"/>
      <c r="I95" s="733"/>
      <c r="J95" s="1030"/>
      <c r="K95" s="277" t="s">
        <v>835</v>
      </c>
    </row>
    <row s="2624" customFormat="1" customHeight="1" ht="33.75">
      <c r="A96" s="2232"/>
      <c r="B96" s="517"/>
      <c r="D96" s="671" t="s">
        <v>90</v>
      </c>
      <c r="E96" s="672" t="s">
        <v>836</v>
      </c>
      <c r="F96" s="732" t="s">
        <v>727</v>
      </c>
      <c r="G96" s="734"/>
      <c r="H96" s="1030"/>
      <c r="I96" s="734"/>
      <c r="J96" s="1030"/>
      <c r="K96" s="277"/>
    </row>
    <row s="2624" customFormat="1" customHeight="1" ht="22.5">
      <c r="A97" s="2232"/>
      <c r="B97" s="517" t="s">
        <v>581</v>
      </c>
      <c r="D97" s="671" t="s">
        <v>91</v>
      </c>
      <c r="E97" s="672" t="s">
        <v>837</v>
      </c>
      <c r="F97" s="732" t="s">
        <v>296</v>
      </c>
      <c r="G97" s="391"/>
      <c r="H97" s="1030"/>
      <c r="I97" s="391"/>
      <c r="J97" s="1030"/>
      <c r="K97" s="277" t="s">
        <v>796</v>
      </c>
    </row>
    <row s="2624" customFormat="1" customHeight="1" ht="45">
      <c r="A98" s="2232"/>
      <c r="B98" s="517" t="s">
        <v>581</v>
      </c>
      <c r="D98" s="671" t="s">
        <v>838</v>
      </c>
      <c r="E98" s="673" t="s">
        <v>839</v>
      </c>
      <c r="F98" s="727" t="s">
        <v>296</v>
      </c>
      <c r="G98" s="391"/>
      <c r="H98" s="1030"/>
      <c r="I98" s="391"/>
      <c r="J98" s="1030"/>
      <c r="K98" s="277" t="s">
        <v>796</v>
      </c>
    </row>
    <row s="2624" customFormat="1" customHeight="1" ht="95.25">
      <c r="A99" s="2232"/>
      <c r="B99" s="517" t="s">
        <v>581</v>
      </c>
      <c r="D99" s="671" t="s">
        <v>110</v>
      </c>
      <c r="E99" s="672" t="s">
        <v>840</v>
      </c>
      <c r="F99" s="727" t="s">
        <v>296</v>
      </c>
      <c r="G99" s="391"/>
      <c r="H99" s="1030"/>
      <c r="I99" s="391"/>
      <c r="J99" s="1030"/>
      <c r="K99" s="277" t="s">
        <v>796</v>
      </c>
    </row>
    <row s="2624" customFormat="1" customHeight="1" ht="22.5">
      <c r="A100" s="2232"/>
      <c r="B100" s="517" t="s">
        <v>581</v>
      </c>
      <c r="D100" s="671" t="s">
        <v>146</v>
      </c>
      <c r="E100" s="672" t="s">
        <v>841</v>
      </c>
      <c r="F100" s="727" t="s">
        <v>296</v>
      </c>
      <c r="G100" s="391"/>
      <c r="H100" s="1030"/>
      <c r="I100" s="391"/>
      <c r="J100" s="1030"/>
      <c r="K100" s="277" t="s">
        <v>796</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140CD-0E33-32F9-FF85-3CF42FBED21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86" width="9.140625" hidden="1" customWidth="1"/>
    <col min="2" max="2" style="3188" width="9.140625" hidden="1" customWidth="1"/>
    <col min="3" max="3" style="4917" width="4.7109375" customWidth="1"/>
    <col min="4" max="4" style="3188" width="6.28125" customWidth="1"/>
    <col min="5" max="5" style="3188" width="36.7109375" customWidth="1"/>
    <col min="6" max="6" style="3188" width="9.57421875" customWidth="1"/>
    <col min="7" max="7" style="2624" width="25.7109375" hidden="1" customWidth="1"/>
    <col min="8" max="8" style="2624" width="33.7109375" hidden="1" customWidth="1"/>
    <col min="9" max="9" style="3188" width="25.7109375" customWidth="1"/>
    <col min="10" max="10" style="3188" width="33.7109375" customWidth="1"/>
    <col min="11" max="11" style="2625" width="93.421875" customWidth="1"/>
    <col min="12" max="20" style="3188" width="10.57421875"/>
    <col min="21" max="21" style="4851"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842</v>
      </c>
      <c r="F3" s="697" t="s">
        <v>296</v>
      </c>
      <c r="G3" s="692"/>
      <c r="H3" s="407"/>
      <c r="I3" s="692"/>
      <c r="J3" s="407"/>
      <c r="K3" s="277" t="s">
        <v>843</v>
      </c>
    </row>
    <row customHeight="1" ht="15" hidden="1">
      <c r="A4" s="511"/>
      <c r="B4" s="2234"/>
      <c r="C4" s="2235"/>
      <c r="D4" s="695" t="str">
        <f>B3&amp;".2"</f>
        <v>.2</v>
      </c>
      <c r="E4" s="696" t="s">
        <v>844</v>
      </c>
      <c r="F4" s="697" t="s">
        <v>296</v>
      </c>
      <c r="G4" s="1778" t="s">
        <v>24</v>
      </c>
      <c r="H4" s="407"/>
      <c r="I4" s="1778" t="s">
        <v>24</v>
      </c>
      <c r="J4" s="407"/>
      <c r="K4" s="277" t="s">
        <v>845</v>
      </c>
    </row>
    <row s="2625" customFormat="1" customHeight="1" ht="15" hidden="1">
      <c r="C5" s="678"/>
      <c r="U5" s="426"/>
    </row>
    <row customHeight="1" ht="22.5" hidden="1">
      <c r="A6" s="511"/>
      <c r="B6" s="2234"/>
      <c r="C6" s="2235"/>
      <c r="D6" s="695" t="str">
        <f>B6&amp;".1"</f>
        <v>.1</v>
      </c>
      <c r="E6" s="696" t="s">
        <v>846</v>
      </c>
      <c r="F6" s="697" t="s">
        <v>296</v>
      </c>
      <c r="G6" s="692"/>
      <c r="H6" s="407"/>
      <c r="I6" s="692"/>
      <c r="J6" s="407"/>
      <c r="K6" s="277" t="s">
        <v>847</v>
      </c>
    </row>
    <row customHeight="1" ht="15" hidden="1">
      <c r="A7" s="511"/>
      <c r="B7" s="2234"/>
      <c r="C7" s="2235"/>
      <c r="D7" s="695" t="str">
        <f>B6&amp;".2"</f>
        <v>.2</v>
      </c>
      <c r="E7" s="696" t="s">
        <v>844</v>
      </c>
      <c r="F7" s="697" t="s">
        <v>296</v>
      </c>
      <c r="G7" s="1778" t="s">
        <v>24</v>
      </c>
      <c r="H7" s="407"/>
      <c r="I7" s="1778" t="s">
        <v>24</v>
      </c>
      <c r="J7" s="407"/>
      <c r="K7" s="277" t="s">
        <v>845</v>
      </c>
    </row>
    <row s="2625" customFormat="1" customHeight="1" ht="15" hidden="1">
      <c r="C8" s="678"/>
      <c r="U8" s="426"/>
    </row>
    <row customHeight="1" ht="22.5" hidden="1">
      <c r="A9" s="511"/>
      <c r="B9" s="2234"/>
      <c r="C9" s="2235"/>
      <c r="D9" s="695" t="str">
        <f>B9&amp;".1"</f>
        <v>.1</v>
      </c>
      <c r="E9" s="696" t="s">
        <v>848</v>
      </c>
      <c r="F9" s="697" t="s">
        <v>296</v>
      </c>
      <c r="G9" s="703" t="s">
        <v>24</v>
      </c>
      <c r="H9" s="407" t="s">
        <v>24</v>
      </c>
      <c r="I9" s="703" t="s">
        <v>24</v>
      </c>
      <c r="J9" s="407" t="s">
        <v>24</v>
      </c>
      <c r="K9" s="277"/>
    </row>
    <row customHeight="1" ht="15" hidden="1">
      <c r="A10" s="511"/>
      <c r="B10" s="2234"/>
      <c r="C10" s="2235"/>
      <c r="D10" s="695" t="str">
        <f>B9&amp;".2"</f>
        <v>.2</v>
      </c>
      <c r="E10" s="696" t="s">
        <v>849</v>
      </c>
      <c r="F10" s="697" t="s">
        <v>296</v>
      </c>
      <c r="G10" s="1772" t="s">
        <v>24</v>
      </c>
      <c r="H10" s="407" t="s">
        <v>24</v>
      </c>
      <c r="I10" s="1772" t="s">
        <v>24</v>
      </c>
      <c r="J10" s="407" t="s">
        <v>24</v>
      </c>
      <c r="K10" s="277" t="s">
        <v>850</v>
      </c>
    </row>
    <row customHeight="1" ht="15" hidden="1">
      <c r="A11" s="511"/>
      <c r="B11" s="2234"/>
      <c r="C11" s="2235"/>
      <c r="D11" s="695" t="str">
        <f>B9&amp;".3"</f>
        <v>.3</v>
      </c>
      <c r="E11" s="696" t="s">
        <v>851</v>
      </c>
      <c r="F11" s="697" t="s">
        <v>296</v>
      </c>
      <c r="G11" s="1772" t="s">
        <v>24</v>
      </c>
      <c r="H11" s="407" t="s">
        <v>24</v>
      </c>
      <c r="I11" s="1772" t="s">
        <v>24</v>
      </c>
      <c r="J11" s="407" t="s">
        <v>24</v>
      </c>
      <c r="K11" s="277" t="s">
        <v>852</v>
      </c>
    </row>
    <row s="2625" customFormat="1" customHeight="1" ht="15" hidden="1">
      <c r="C12" s="678"/>
      <c r="U12" s="426"/>
    </row>
    <row customHeight="1" ht="33.75" hidden="1">
      <c r="A13" s="511"/>
      <c r="B13" s="2234"/>
      <c r="C13" s="2235"/>
      <c r="D13" s="695" t="str">
        <f>B13&amp;".1"</f>
        <v>.1</v>
      </c>
      <c r="E13" s="696" t="s">
        <v>853</v>
      </c>
      <c r="F13" s="697" t="s">
        <v>296</v>
      </c>
      <c r="G13" s="703" t="s">
        <v>24</v>
      </c>
      <c r="H13" s="407" t="s">
        <v>24</v>
      </c>
      <c r="I13" s="703" t="s">
        <v>24</v>
      </c>
      <c r="J13" s="407" t="s">
        <v>24</v>
      </c>
      <c r="K13" s="277" t="s">
        <v>854</v>
      </c>
    </row>
    <row customHeight="1" ht="15" hidden="1">
      <c r="B14" s="2234"/>
      <c r="C14" s="2235"/>
      <c r="D14" s="695" t="str">
        <f>B13&amp;".2"</f>
        <v>.2</v>
      </c>
      <c r="E14" s="696" t="s">
        <v>855</v>
      </c>
      <c r="F14" s="697" t="s">
        <v>296</v>
      </c>
      <c r="G14" s="1772" t="s">
        <v>24</v>
      </c>
      <c r="H14" s="407" t="s">
        <v>24</v>
      </c>
      <c r="I14" s="1772" t="s">
        <v>24</v>
      </c>
      <c r="J14" s="407" t="s">
        <v>24</v>
      </c>
      <c r="K14" s="277" t="s">
        <v>856</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МУП "Водоканал"</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291</v>
      </c>
    </row>
    <row s="2624" customFormat="1" customHeight="1" ht="15">
      <c r="A27" s="765"/>
      <c r="C27" s="162"/>
      <c r="D27" s="717"/>
      <c r="E27" s="2213" t="s">
        <v>557</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290</v>
      </c>
      <c r="E29" s="2216"/>
      <c r="F29" s="2216"/>
      <c r="G29" s="893"/>
      <c r="H29" s="893"/>
      <c r="I29" s="893"/>
      <c r="J29" s="894"/>
      <c r="K29" s="2032"/>
      <c r="U29" s="681"/>
    </row>
    <row customHeight="1" ht="33.75">
      <c r="C30" s="162"/>
      <c r="D30" s="767" t="s">
        <v>86</v>
      </c>
      <c r="E30" s="766" t="s">
        <v>292</v>
      </c>
      <c r="F30" s="766" t="s">
        <v>559</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857</v>
      </c>
      <c r="C32" s="532"/>
      <c r="D32" s="698">
        <v>1</v>
      </c>
      <c r="E32" s="699" t="s">
        <v>858</v>
      </c>
      <c r="F32" s="697" t="s">
        <v>296</v>
      </c>
      <c r="G32" s="819" t="s">
        <v>296</v>
      </c>
      <c r="H32" s="819" t="s">
        <v>296</v>
      </c>
      <c r="I32" s="697" t="s">
        <v>296</v>
      </c>
      <c r="J32" s="697" t="s">
        <v>296</v>
      </c>
      <c r="K32" s="277"/>
    </row>
    <row customHeight="1" ht="11.25">
      <c r="A33" s="511"/>
      <c r="C33" s="511"/>
      <c r="D33" s="343"/>
      <c r="E33" s="586" t="s">
        <v>579</v>
      </c>
      <c r="F33" s="578"/>
      <c r="G33" s="578"/>
      <c r="H33" s="578"/>
      <c r="I33" s="578"/>
      <c r="J33" s="578"/>
      <c r="K33" s="579"/>
      <c r="U33" s="511"/>
    </row>
    <row customHeight="1" ht="22.5">
      <c r="A34" s="511"/>
      <c r="B34" s="587" t="s">
        <v>859</v>
      </c>
      <c r="C34" s="532"/>
      <c r="D34" s="698">
        <v>2</v>
      </c>
      <c r="E34" s="699" t="s">
        <v>860</v>
      </c>
      <c r="F34" s="826" t="s">
        <v>296</v>
      </c>
      <c r="G34" s="826" t="s">
        <v>296</v>
      </c>
      <c r="H34" s="826" t="s">
        <v>296</v>
      </c>
      <c r="I34" s="697"/>
      <c r="J34" s="697"/>
      <c r="K34" s="277"/>
    </row>
    <row customHeight="1" ht="11.25">
      <c r="A35" s="511"/>
      <c r="C35" s="511"/>
      <c r="D35" s="343"/>
      <c r="E35" s="586" t="s">
        <v>861</v>
      </c>
      <c r="F35" s="578"/>
      <c r="G35" s="700"/>
      <c r="H35" s="578"/>
      <c r="I35" s="700"/>
      <c r="J35" s="578"/>
      <c r="K35" s="579"/>
      <c r="U35" s="511"/>
    </row>
    <row customHeight="1" ht="67.5">
      <c r="A36" s="511"/>
      <c r="B36" s="511" t="s">
        <v>862</v>
      </c>
      <c r="C36" s="532"/>
      <c r="D36" s="698">
        <v>3</v>
      </c>
      <c r="E36" s="699" t="s">
        <v>863</v>
      </c>
      <c r="F36" s="701" t="s">
        <v>296</v>
      </c>
      <c r="G36" s="820" t="s">
        <v>864</v>
      </c>
      <c r="H36" s="819" t="s">
        <v>296</v>
      </c>
      <c r="I36" s="530" t="s">
        <v>864</v>
      </c>
      <c r="J36" s="697" t="s">
        <v>296</v>
      </c>
      <c r="K36" s="277" t="s">
        <v>865</v>
      </c>
    </row>
    <row customHeight="1" ht="11.25">
      <c r="A37" s="511"/>
      <c r="C37" s="511"/>
      <c r="D37" s="343"/>
      <c r="E37" s="586" t="s">
        <v>866</v>
      </c>
      <c r="F37" s="578"/>
      <c r="G37" s="700"/>
      <c r="H37" s="700"/>
      <c r="I37" s="700"/>
      <c r="J37" s="700"/>
      <c r="K37" s="579"/>
      <c r="U37" s="511"/>
    </row>
    <row customHeight="1" ht="67.5">
      <c r="A38" s="511"/>
      <c r="B38" s="511" t="s">
        <v>867</v>
      </c>
      <c r="C38" s="532"/>
      <c r="D38" s="698">
        <v>4</v>
      </c>
      <c r="E38" s="699" t="s">
        <v>868</v>
      </c>
      <c r="F38" s="701" t="s">
        <v>296</v>
      </c>
      <c r="G38" s="820" t="s">
        <v>864</v>
      </c>
      <c r="H38" s="821" t="s">
        <v>296</v>
      </c>
      <c r="I38" s="530" t="s">
        <v>864</v>
      </c>
      <c r="J38" s="527" t="s">
        <v>296</v>
      </c>
      <c r="K38" s="685" t="s">
        <v>869</v>
      </c>
    </row>
    <row customHeight="1" ht="11.25">
      <c r="A39" s="511"/>
      <c r="C39" s="511"/>
      <c r="D39" s="343"/>
      <c r="E39" s="586" t="s">
        <v>870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9481B-0ABF-DF4D-DB51-CBFCD52A840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918" width="6.7109375" hidden="1" customWidth="1"/>
    <col min="4" max="4" style="2625" width="6.7109375" hidden="1" customWidth="1"/>
    <col min="5" max="5" style="2628" width="3.7109375" customWidth="1"/>
    <col min="6" max="6" style="2624" width="6.28125" customWidth="1"/>
    <col min="7" max="7" style="2624" width="37.7109375" customWidth="1"/>
    <col min="8" max="8" style="2975"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32"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84" customFormat="1" customHeight="1" ht="15.75">
      <c r="A6" s="1174"/>
      <c r="B6" s="1174"/>
      <c r="C6" s="1174"/>
      <c r="D6" s="1168"/>
      <c r="E6" s="1675"/>
      <c r="F6" s="2141" t="str">
        <f>IF(org=0,"Не определено",org)</f>
        <v>МУП "Водоканал"</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871</v>
      </c>
      <c r="H9" s="2028" t="s">
        <v>872</v>
      </c>
      <c r="I9" s="1971" t="s">
        <v>873</v>
      </c>
      <c r="J9" s="1971" t="s">
        <v>874</v>
      </c>
      <c r="K9" s="1971" t="s">
        <v>875</v>
      </c>
      <c r="L9" s="1971" t="s">
        <v>876</v>
      </c>
      <c r="M9" s="1971" t="s">
        <v>877</v>
      </c>
      <c r="N9" s="2062" t="s">
        <v>878</v>
      </c>
      <c r="O9" s="2062"/>
      <c r="P9" s="2062"/>
      <c r="Q9" s="2242" t="s">
        <v>879</v>
      </c>
      <c r="R9" s="2243"/>
      <c r="S9" s="2243"/>
      <c r="T9" s="2244"/>
      <c r="U9" s="2242" t="s">
        <v>880</v>
      </c>
      <c r="V9" s="2243"/>
      <c r="W9" s="2243"/>
      <c r="X9" s="2244"/>
      <c r="Y9" s="1955" t="s">
        <v>881</v>
      </c>
      <c r="Z9" s="1956"/>
      <c r="AA9" s="1956"/>
      <c r="AB9" s="1957"/>
    </row>
    <row customHeight="1" ht="41.25">
      <c r="A10" s="911"/>
      <c r="B10" s="911"/>
      <c r="C10" s="911"/>
      <c r="F10" s="2028"/>
      <c r="G10" s="2028"/>
      <c r="H10" s="2090"/>
      <c r="I10" s="2028"/>
      <c r="J10" s="2028"/>
      <c r="K10" s="2028"/>
      <c r="L10" s="2028"/>
      <c r="M10" s="2028"/>
      <c r="N10" s="909" t="s">
        <v>882</v>
      </c>
      <c r="O10" s="909" t="s">
        <v>883</v>
      </c>
      <c r="P10" s="910" t="s">
        <v>884</v>
      </c>
      <c r="Q10" s="921" t="s">
        <v>87</v>
      </c>
      <c r="R10" s="921" t="s">
        <v>885</v>
      </c>
      <c r="S10" s="921" t="s">
        <v>886</v>
      </c>
      <c r="T10" s="922" t="s">
        <v>887</v>
      </c>
      <c r="U10" s="921" t="s">
        <v>87</v>
      </c>
      <c r="V10" s="921" t="s">
        <v>888</v>
      </c>
      <c r="W10" s="921" t="s">
        <v>886</v>
      </c>
      <c r="X10" s="922" t="s">
        <v>887</v>
      </c>
      <c r="Y10" s="289" t="s">
        <v>889</v>
      </c>
      <c r="Z10" s="1955" t="s">
        <v>86</v>
      </c>
      <c r="AA10" s="1957"/>
      <c r="AB10" s="1056" t="s">
        <v>890</v>
      </c>
    </row>
    <row s="2612"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891</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892</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921D5-03ED-FAC7-5234-9D68A540E33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918" width="4.140625" hidden="1" customWidth="1"/>
    <col min="4" max="4" style="2625" width="4.140625" hidden="1" customWidth="1"/>
    <col min="5" max="5" style="2628" width="3.7109375" customWidth="1"/>
    <col min="6" max="6" style="2624" width="14.421875" customWidth="1"/>
    <col min="7" max="7" style="2624" width="3.7109375" customWidth="1"/>
    <col min="8" max="8" style="2975" width="7.7109375" customWidth="1"/>
    <col min="9" max="10" style="2624" width="16.7109375" customWidth="1"/>
    <col min="11" max="11" style="2624" width="25.7109375" customWidth="1"/>
    <col min="12" max="12" style="4970" width="8.00390625" customWidth="1"/>
    <col min="13" max="13" style="4970"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970" width="37.57421875" customWidth="1"/>
    <col min="31" max="31" style="2624" width="15.7109375" customWidth="1"/>
    <col min="32" max="33" style="2624" width="16.7109375" customWidth="1"/>
    <col min="34" max="34" style="4992" width="16.7109375" customWidth="1"/>
    <col min="35" max="35" style="4993"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32"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МУП "Водоканал"</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893</v>
      </c>
      <c r="G9" s="2249" t="s">
        <v>894</v>
      </c>
      <c r="H9" s="2250"/>
      <c r="I9" s="1971" t="s">
        <v>895</v>
      </c>
      <c r="J9" s="1971"/>
      <c r="K9" s="1971" t="s">
        <v>896</v>
      </c>
      <c r="L9" s="1971"/>
      <c r="M9" s="1971"/>
      <c r="N9" s="1971"/>
      <c r="O9" s="1971"/>
      <c r="P9" s="1971"/>
      <c r="Q9" s="1971"/>
      <c r="R9" s="1971"/>
      <c r="S9" s="1971"/>
      <c r="T9" s="1971"/>
      <c r="U9" s="1971"/>
      <c r="V9" s="1971"/>
      <c r="W9" s="1971"/>
      <c r="X9" s="1971"/>
      <c r="Y9" s="1971"/>
      <c r="Z9" s="2029" t="s">
        <v>897</v>
      </c>
      <c r="AA9" s="2030"/>
      <c r="AB9" s="1971" t="s">
        <v>898</v>
      </c>
      <c r="AC9" s="1971"/>
      <c r="AD9" s="1971"/>
      <c r="AE9" s="1971"/>
      <c r="AF9" s="2028" t="s">
        <v>899</v>
      </c>
      <c r="AG9" s="1971" t="s">
        <v>900</v>
      </c>
      <c r="AH9" s="1971"/>
      <c r="AI9" s="2028" t="s">
        <v>901</v>
      </c>
      <c r="AJ9" s="1971" t="s">
        <v>902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903</v>
      </c>
      <c r="L10" s="1955" t="s">
        <v>904</v>
      </c>
      <c r="M10" s="1957"/>
      <c r="N10" s="1971" t="s">
        <v>905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970" customFormat="1" customHeight="1" ht="23.25">
      <c r="A11" s="1137"/>
      <c r="B11" s="1137"/>
      <c r="C11" s="1137"/>
      <c r="D11" s="1136"/>
      <c r="E11" s="1138"/>
      <c r="F11" s="2248"/>
      <c r="G11" s="2251"/>
      <c r="H11" s="2252"/>
      <c r="I11" s="1971"/>
      <c r="J11" s="1971"/>
      <c r="K11" s="1971"/>
      <c r="L11" s="2028" t="s">
        <v>906</v>
      </c>
      <c r="M11" s="2028" t="s">
        <v>907</v>
      </c>
      <c r="N11" s="1971" t="s">
        <v>908</v>
      </c>
      <c r="O11" s="1971"/>
      <c r="P11" s="2246" t="s">
        <v>889</v>
      </c>
      <c r="Q11" s="2246" t="s">
        <v>909</v>
      </c>
      <c r="R11" s="2246" t="s">
        <v>910</v>
      </c>
      <c r="S11" s="2246" t="s">
        <v>911</v>
      </c>
      <c r="T11" s="2246"/>
      <c r="U11" s="2246"/>
      <c r="V11" s="2246"/>
      <c r="W11" s="2246"/>
      <c r="X11" s="2246"/>
      <c r="Y11" s="2246"/>
      <c r="Z11" s="2031"/>
      <c r="AA11" s="2032"/>
      <c r="AB11" s="1971" t="s">
        <v>912</v>
      </c>
      <c r="AC11" s="1971"/>
      <c r="AD11" s="1955" t="s">
        <v>913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914</v>
      </c>
      <c r="K12" s="1971"/>
      <c r="L12" s="2090"/>
      <c r="M12" s="2090"/>
      <c r="N12" s="1971"/>
      <c r="O12" s="1971"/>
      <c r="P12" s="2246"/>
      <c r="Q12" s="2246"/>
      <c r="R12" s="2246"/>
      <c r="S12" s="1142" t="s">
        <v>84</v>
      </c>
      <c r="T12" s="1142" t="s">
        <v>85</v>
      </c>
      <c r="U12" s="1142" t="s">
        <v>83</v>
      </c>
      <c r="V12" s="1142" t="s">
        <v>915</v>
      </c>
      <c r="W12" s="1142" t="s">
        <v>83</v>
      </c>
      <c r="X12" s="1142" t="s">
        <v>916</v>
      </c>
      <c r="Y12" s="1142" t="s">
        <v>917</v>
      </c>
      <c r="Z12" s="2037"/>
      <c r="AA12" s="2038"/>
      <c r="AB12" s="1149" t="s">
        <v>918</v>
      </c>
      <c r="AC12" s="1149" t="s">
        <v>919</v>
      </c>
      <c r="AD12" s="1149" t="s">
        <v>918</v>
      </c>
      <c r="AE12" s="1149" t="s">
        <v>919</v>
      </c>
      <c r="AF12" s="2090"/>
      <c r="AG12" s="1162" t="s">
        <v>920</v>
      </c>
      <c r="AH12" s="1162" t="s">
        <v>921</v>
      </c>
      <c r="AI12" s="2090"/>
      <c r="AJ12" s="1162" t="s">
        <v>920</v>
      </c>
      <c r="AK12" s="1162" t="s">
        <v>921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0FF65-C47C-0E46-1A97-3AEFAEBECE4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920" width="4.140625" hidden="1" customWidth="1"/>
    <col min="4" max="4" style="3327" width="4.140625" hidden="1" customWidth="1"/>
    <col min="5" max="5" style="2628" width="3.7109375" customWidth="1"/>
    <col min="6" max="6" style="2975" width="6.28125" customWidth="1"/>
    <col min="7" max="7" style="2975" width="60.140625" customWidth="1"/>
    <col min="8" max="9" style="2975" width="21.7109375" hidden="1" customWidth="1"/>
    <col min="10" max="10" style="2975" width="0.140625" customWidth="1"/>
    <col min="11" max="11" style="2975" width="1.7109375" customWidth="1"/>
    <col min="12" max="22" style="2975" width="9.140625"/>
  </cols>
  <sheetData>
    <row s="3327" customFormat="1" customHeight="1" ht="10.5" hidden="1">
      <c r="A1" s="1174"/>
      <c r="B1" s="1174"/>
      <c r="C1" s="1174"/>
      <c r="E1" s="543"/>
    </row>
    <row customHeight="1" ht="10.5" hidden="1"/>
    <row s="2974"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МУП "Водоканал"</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86</v>
      </c>
      <c r="G10" s="2267" t="s">
        <v>923</v>
      </c>
      <c r="H10" s="2265" t="s">
        <v>924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925</v>
      </c>
      <c r="I12" s="1250"/>
      <c r="J12" s="1244"/>
      <c r="K12" s="1252"/>
    </row>
    <row customHeight="1" ht="10.5" hidden="1">
      <c r="F13" s="1244">
        <v>1</v>
      </c>
      <c r="G13" s="1244">
        <v>2</v>
      </c>
      <c r="H13" s="1244">
        <v>3</v>
      </c>
      <c r="I13" s="1244">
        <v>4</v>
      </c>
      <c r="J13" s="1244">
        <v>5</v>
      </c>
      <c r="K13" s="1252"/>
    </row>
    <row customHeight="1" ht="11.25">
      <c r="F14" s="1243" t="s">
        <v>926</v>
      </c>
      <c r="G14" s="2260" t="s">
        <v>927</v>
      </c>
      <c r="H14" s="2260"/>
      <c r="I14" s="2260"/>
      <c r="J14" s="2260"/>
      <c r="K14" s="1252"/>
    </row>
    <row customHeight="1" ht="11.25">
      <c r="F15" s="1248">
        <v>1</v>
      </c>
      <c r="G15" s="696" t="s">
        <v>928</v>
      </c>
      <c r="H15" s="1254">
        <f>SUM(I15:J15)</f>
        <v>0</v>
      </c>
      <c r="I15" s="1254">
        <f>SUM(I16:I27)</f>
        <v>0</v>
      </c>
      <c r="J15" s="1243"/>
      <c r="K15" s="1252"/>
    </row>
    <row customHeight="1" ht="22.5">
      <c r="F16" s="1248" t="s">
        <v>929</v>
      </c>
      <c r="G16" s="1255" t="s">
        <v>930</v>
      </c>
      <c r="H16" s="1254">
        <f>SUM(I16:J16)</f>
        <v>0</v>
      </c>
      <c r="I16" s="1253"/>
      <c r="J16" s="1243"/>
      <c r="K16" s="1252"/>
    </row>
    <row customHeight="1" ht="22.5">
      <c r="F17" s="1248" t="s">
        <v>931</v>
      </c>
      <c r="G17" s="1255" t="s">
        <v>932</v>
      </c>
      <c r="H17" s="1254">
        <f>SUM(I17:J17)</f>
        <v>0</v>
      </c>
      <c r="I17" s="1253"/>
      <c r="J17" s="1243"/>
      <c r="K17" s="1252"/>
    </row>
    <row customHeight="1" ht="33.75">
      <c r="F18" s="1248" t="s">
        <v>933</v>
      </c>
      <c r="G18" s="1255" t="s">
        <v>934</v>
      </c>
      <c r="H18" s="1254">
        <f>SUM(I18:J18)</f>
        <v>0</v>
      </c>
      <c r="I18" s="1253"/>
      <c r="J18" s="1243"/>
      <c r="K18" s="1252"/>
    </row>
    <row customHeight="1" ht="33.75">
      <c r="F19" s="1248" t="s">
        <v>935</v>
      </c>
      <c r="G19" s="1255" t="s">
        <v>936</v>
      </c>
      <c r="H19" s="1254">
        <f>SUM(I19:J19)</f>
        <v>0</v>
      </c>
      <c r="I19" s="1253"/>
      <c r="J19" s="1243"/>
      <c r="K19" s="1252"/>
    </row>
    <row customHeight="1" ht="45">
      <c r="F20" s="1248" t="s">
        <v>937</v>
      </c>
      <c r="G20" s="1255" t="s">
        <v>938</v>
      </c>
      <c r="H20" s="1254">
        <f>SUM(I20:J20)</f>
        <v>0</v>
      </c>
      <c r="I20" s="1253"/>
      <c r="J20" s="1243"/>
      <c r="K20" s="1252"/>
    </row>
    <row customHeight="1" ht="33.75">
      <c r="F21" s="1248" t="s">
        <v>939</v>
      </c>
      <c r="G21" s="1255" t="s">
        <v>940</v>
      </c>
      <c r="H21" s="1254">
        <f>SUM(I21:J21)</f>
        <v>0</v>
      </c>
      <c r="I21" s="1253"/>
      <c r="J21" s="1243"/>
      <c r="K21" s="1252"/>
    </row>
    <row customHeight="1" ht="33.75">
      <c r="F22" s="1248" t="s">
        <v>941</v>
      </c>
      <c r="G22" s="1255" t="s">
        <v>942</v>
      </c>
      <c r="H22" s="1254">
        <f>SUM(I22:J22)</f>
        <v>0</v>
      </c>
      <c r="I22" s="1253"/>
      <c r="J22" s="1243"/>
      <c r="K22" s="1252"/>
    </row>
    <row customHeight="1" ht="22.5">
      <c r="F23" s="1248" t="s">
        <v>943</v>
      </c>
      <c r="G23" s="1255" t="s">
        <v>944</v>
      </c>
      <c r="H23" s="1254">
        <f>SUM(I23:J23)</f>
        <v>0</v>
      </c>
      <c r="I23" s="1253"/>
      <c r="J23" s="1243"/>
      <c r="K23" s="1252"/>
    </row>
    <row customHeight="1" ht="22.5">
      <c r="F24" s="1248" t="s">
        <v>945</v>
      </c>
      <c r="G24" s="1255" t="s">
        <v>946</v>
      </c>
      <c r="H24" s="1254">
        <f>SUM(I24:J24)</f>
        <v>0</v>
      </c>
      <c r="I24" s="1253"/>
      <c r="J24" s="1243"/>
      <c r="K24" s="1252"/>
    </row>
    <row customHeight="1" ht="33.75">
      <c r="F25" s="1248" t="s">
        <v>947</v>
      </c>
      <c r="G25" s="1255" t="s">
        <v>948</v>
      </c>
      <c r="H25" s="1254">
        <f>SUM(I25:J25)</f>
        <v>0</v>
      </c>
      <c r="I25" s="1253"/>
      <c r="J25" s="1243"/>
      <c r="K25" s="1252"/>
    </row>
    <row customHeight="1" ht="33.75">
      <c r="F26" s="1248" t="s">
        <v>949</v>
      </c>
      <c r="G26" s="1255" t="s">
        <v>950</v>
      </c>
      <c r="H26" s="1254">
        <f>SUM(I26:J26)</f>
        <v>0</v>
      </c>
      <c r="I26" s="1253"/>
      <c r="J26" s="1243"/>
      <c r="K26" s="1252"/>
    </row>
    <row customHeight="1" ht="11.25">
      <c r="F27" s="1248" t="s">
        <v>951</v>
      </c>
      <c r="G27" s="1255" t="s">
        <v>952</v>
      </c>
      <c r="H27" s="1254">
        <f>SUM(I27:J27)</f>
        <v>0</v>
      </c>
      <c r="I27" s="1253"/>
      <c r="J27" s="1243"/>
      <c r="K27" s="1252"/>
    </row>
    <row customHeight="1" ht="11.25">
      <c r="F28" s="1248">
        <v>2</v>
      </c>
      <c r="G28" s="696" t="s">
        <v>953</v>
      </c>
      <c r="H28" s="1254">
        <f>SUM(I28:J28)</f>
        <v>0</v>
      </c>
      <c r="I28" s="1254">
        <f>SUM(I29:I31)</f>
        <v>0</v>
      </c>
      <c r="J28" s="1243"/>
      <c r="K28" s="1252"/>
    </row>
    <row customHeight="1" ht="11.25">
      <c r="F29" s="1248" t="s">
        <v>615</v>
      </c>
      <c r="G29" s="1255" t="s">
        <v>954</v>
      </c>
      <c r="H29" s="1254">
        <f>SUM(I29:J29)</f>
        <v>0</v>
      </c>
      <c r="I29" s="1253"/>
      <c r="J29" s="1243"/>
      <c r="K29" s="1252"/>
    </row>
    <row customHeight="1" ht="11.25">
      <c r="F30" s="1248" t="s">
        <v>297</v>
      </c>
      <c r="G30" s="1255" t="s">
        <v>955</v>
      </c>
      <c r="H30" s="1254">
        <f>SUM(I30:J30)</f>
        <v>0</v>
      </c>
      <c r="I30" s="1253"/>
      <c r="J30" s="1243"/>
      <c r="K30" s="1252"/>
    </row>
    <row customHeight="1" ht="11.25">
      <c r="F31" s="1248" t="s">
        <v>300</v>
      </c>
      <c r="G31" s="1255" t="s">
        <v>956</v>
      </c>
      <c r="H31" s="1254">
        <f>SUM(I31:J31)</f>
        <v>0</v>
      </c>
      <c r="I31" s="1253"/>
      <c r="J31" s="1243"/>
      <c r="K31" s="1252"/>
    </row>
    <row customHeight="1" ht="11.25">
      <c r="F32" s="1248">
        <v>3</v>
      </c>
      <c r="G32" s="696" t="s">
        <v>957</v>
      </c>
      <c r="H32" s="1254">
        <f>SUM(I32:J32)</f>
        <v>0</v>
      </c>
      <c r="I32" s="1254">
        <f>SUM(I33:I34)</f>
        <v>0</v>
      </c>
      <c r="J32" s="1243"/>
      <c r="K32" s="1252"/>
    </row>
    <row customHeight="1" ht="33.75">
      <c r="F33" s="1248" t="s">
        <v>316</v>
      </c>
      <c r="G33" s="1255" t="s">
        <v>958</v>
      </c>
      <c r="H33" s="1254">
        <f>SUM(I33:J33)</f>
        <v>0</v>
      </c>
      <c r="I33" s="1253"/>
      <c r="J33" s="1243"/>
      <c r="K33" s="1252"/>
    </row>
    <row customHeight="1" ht="11.25">
      <c r="F34" s="1248" t="s">
        <v>324</v>
      </c>
      <c r="G34" s="1255" t="s">
        <v>959</v>
      </c>
      <c r="H34" s="1254">
        <f>SUM(I34:J34)</f>
        <v>0</v>
      </c>
      <c r="I34" s="1253"/>
      <c r="J34" s="1243"/>
      <c r="K34" s="1252"/>
    </row>
    <row customHeight="1" ht="11.25">
      <c r="F35" s="1248">
        <v>4</v>
      </c>
      <c r="G35" s="696" t="s">
        <v>960</v>
      </c>
      <c r="H35" s="1254">
        <f>SUM(I35:J35)</f>
        <v>0</v>
      </c>
      <c r="I35" s="1253"/>
      <c r="J35" s="1243"/>
      <c r="K35" s="1252"/>
    </row>
    <row customHeight="1" ht="11.25">
      <c r="F36" s="1248"/>
      <c r="G36" s="699" t="s">
        <v>961</v>
      </c>
      <c r="H36" s="1254">
        <f>SUM(I36:J36)</f>
        <v>0</v>
      </c>
      <c r="I36" s="1254">
        <f>SUM(I15,I28,I32,I35)</f>
        <v>0</v>
      </c>
      <c r="J36" s="1243"/>
      <c r="K36" s="1252"/>
    </row>
    <row customHeight="1" ht="27.75">
      <c r="F37" s="1249" t="s">
        <v>962</v>
      </c>
      <c r="G37" s="2261" t="s">
        <v>963</v>
      </c>
      <c r="H37" s="2261"/>
      <c r="I37" s="2261"/>
      <c r="J37" s="2261"/>
      <c r="K37" s="1252"/>
    </row>
    <row customHeight="1" ht="22.5">
      <c r="F38" s="1248" t="s">
        <v>107</v>
      </c>
      <c r="G38" s="696" t="s">
        <v>964</v>
      </c>
      <c r="H38" s="1254">
        <f>SUM(I38:J38)</f>
        <v>0</v>
      </c>
      <c r="I38" s="1254">
        <f>SUM(I39,I44,I47)</f>
        <v>0</v>
      </c>
      <c r="J38" s="1243"/>
      <c r="K38" s="1252"/>
    </row>
    <row customHeight="1" ht="11.25">
      <c r="F39" s="1248" t="s">
        <v>929</v>
      </c>
      <c r="G39" s="1255" t="s">
        <v>928</v>
      </c>
      <c r="H39" s="1254">
        <f>SUM(I39:J39)</f>
        <v>0</v>
      </c>
      <c r="I39" s="1254">
        <f>SUM(I40:I43)</f>
        <v>0</v>
      </c>
      <c r="J39" s="1243"/>
      <c r="K39" s="1252"/>
    </row>
    <row customHeight="1" ht="22.5">
      <c r="F40" s="1248" t="s">
        <v>965</v>
      </c>
      <c r="G40" s="1256" t="s">
        <v>966</v>
      </c>
      <c r="H40" s="1254">
        <f>SUM(I40:J40)</f>
        <v>0</v>
      </c>
      <c r="I40" s="1253"/>
      <c r="J40" s="1243"/>
      <c r="K40" s="1252"/>
    </row>
    <row customHeight="1" ht="11.25">
      <c r="F41" s="1248" t="s">
        <v>967</v>
      </c>
      <c r="G41" s="1256" t="s">
        <v>968</v>
      </c>
      <c r="H41" s="1254">
        <f>SUM(I41:J41)</f>
        <v>0</v>
      </c>
      <c r="I41" s="1253"/>
      <c r="J41" s="1243"/>
      <c r="K41" s="1252"/>
    </row>
    <row customHeight="1" ht="11.25">
      <c r="F42" s="1248" t="s">
        <v>969</v>
      </c>
      <c r="G42" s="1256" t="s">
        <v>970</v>
      </c>
      <c r="H42" s="1254">
        <f>SUM(I42:J42)</f>
        <v>0</v>
      </c>
      <c r="I42" s="1253"/>
      <c r="J42" s="1243"/>
      <c r="K42" s="1252"/>
    </row>
    <row customHeight="1" ht="33.75">
      <c r="F43" s="1248" t="s">
        <v>971</v>
      </c>
      <c r="G43" s="1256" t="s">
        <v>972</v>
      </c>
      <c r="H43" s="1254">
        <f>SUM(I43:J43)</f>
        <v>0</v>
      </c>
      <c r="I43" s="1253"/>
      <c r="J43" s="1243"/>
      <c r="K43" s="1252"/>
    </row>
    <row customHeight="1" ht="11.25">
      <c r="F44" s="1248" t="s">
        <v>931</v>
      </c>
      <c r="G44" s="1255" t="s">
        <v>957</v>
      </c>
      <c r="H44" s="1254">
        <f>SUM(I44:J44)</f>
        <v>0</v>
      </c>
      <c r="I44" s="1254">
        <f>SUM(I45:I46)</f>
        <v>0</v>
      </c>
      <c r="J44" s="1243"/>
      <c r="K44" s="1252"/>
    </row>
    <row customHeight="1" ht="45">
      <c r="F45" s="1248" t="s">
        <v>973</v>
      </c>
      <c r="G45" s="1256" t="s">
        <v>958</v>
      </c>
      <c r="H45" s="1254">
        <f>SUM(I45:J45)</f>
        <v>0</v>
      </c>
      <c r="I45" s="1253"/>
      <c r="J45" s="1243"/>
      <c r="K45" s="1252"/>
    </row>
    <row customHeight="1" ht="11.25">
      <c r="F46" s="1248" t="s">
        <v>974</v>
      </c>
      <c r="G46" s="1256" t="s">
        <v>959</v>
      </c>
      <c r="H46" s="1254">
        <f>SUM(I46:J46)</f>
        <v>0</v>
      </c>
      <c r="I46" s="1253"/>
      <c r="J46" s="1243"/>
      <c r="K46" s="1252"/>
    </row>
    <row customHeight="1" ht="11.25">
      <c r="F47" s="1248" t="s">
        <v>933</v>
      </c>
      <c r="G47" s="1255" t="s">
        <v>975</v>
      </c>
      <c r="H47" s="1254">
        <f>SUM(I47:J47)</f>
        <v>0</v>
      </c>
      <c r="I47" s="1253"/>
      <c r="J47" s="1243"/>
      <c r="K47" s="1252"/>
    </row>
    <row customHeight="1" ht="22.5">
      <c r="F48" s="1248" t="s">
        <v>108</v>
      </c>
      <c r="G48" s="696" t="s">
        <v>976</v>
      </c>
      <c r="H48" s="1254">
        <f>SUM(I48:J48)</f>
        <v>0</v>
      </c>
      <c r="I48" s="1254">
        <f>SUM(I49,I54,I57)</f>
        <v>0</v>
      </c>
      <c r="J48" s="1243"/>
      <c r="K48" s="1252"/>
    </row>
    <row customHeight="1" ht="11.25">
      <c r="F49" s="1248" t="s">
        <v>615</v>
      </c>
      <c r="G49" s="1255" t="s">
        <v>928</v>
      </c>
      <c r="H49" s="1254">
        <f>SUM(I49:J49)</f>
        <v>0</v>
      </c>
      <c r="I49" s="1254">
        <f>SUM(I50:I53)</f>
        <v>0</v>
      </c>
      <c r="J49" s="1243"/>
      <c r="K49" s="1252"/>
    </row>
    <row customHeight="1" ht="22.5">
      <c r="F50" s="1248" t="s">
        <v>618</v>
      </c>
      <c r="G50" s="1256" t="s">
        <v>966</v>
      </c>
      <c r="H50" s="1254">
        <f>SUM(I50:J50)</f>
        <v>0</v>
      </c>
      <c r="I50" s="1253"/>
      <c r="J50" s="1243"/>
      <c r="K50" s="1252"/>
    </row>
    <row customHeight="1" ht="11.25">
      <c r="F51" s="1248" t="s">
        <v>621</v>
      </c>
      <c r="G51" s="1256" t="s">
        <v>968</v>
      </c>
      <c r="H51" s="1254">
        <f>SUM(I51:J51)</f>
        <v>0</v>
      </c>
      <c r="I51" s="1253"/>
      <c r="J51" s="1243"/>
      <c r="K51" s="1252"/>
    </row>
    <row customHeight="1" ht="11.25">
      <c r="F52" s="1248" t="s">
        <v>977</v>
      </c>
      <c r="G52" s="1256" t="s">
        <v>970</v>
      </c>
      <c r="H52" s="1254">
        <f>SUM(I52:J52)</f>
        <v>0</v>
      </c>
      <c r="I52" s="1253"/>
      <c r="J52" s="1243"/>
      <c r="K52" s="1252"/>
    </row>
    <row customHeight="1" ht="33.75">
      <c r="F53" s="1248" t="s">
        <v>978</v>
      </c>
      <c r="G53" s="1256" t="s">
        <v>972</v>
      </c>
      <c r="H53" s="1254">
        <f>SUM(I53:J53)</f>
        <v>0</v>
      </c>
      <c r="I53" s="1253"/>
      <c r="J53" s="1243"/>
      <c r="K53" s="1252"/>
    </row>
    <row customHeight="1" ht="11.25">
      <c r="F54" s="1248" t="s">
        <v>297</v>
      </c>
      <c r="G54" s="1255" t="s">
        <v>957</v>
      </c>
      <c r="H54" s="1254">
        <f>SUM(I54:J54)</f>
        <v>0</v>
      </c>
      <c r="I54" s="1254">
        <f>SUM(I55:I56)</f>
        <v>0</v>
      </c>
      <c r="J54" s="1243"/>
      <c r="K54" s="1252"/>
    </row>
    <row customHeight="1" ht="45">
      <c r="F55" s="1248" t="s">
        <v>625</v>
      </c>
      <c r="G55" s="1256" t="s">
        <v>958</v>
      </c>
      <c r="H55" s="1254">
        <f>SUM(I55:J55)</f>
        <v>0</v>
      </c>
      <c r="I55" s="1253"/>
      <c r="J55" s="1243"/>
      <c r="K55" s="1252"/>
    </row>
    <row customHeight="1" ht="11.25">
      <c r="F56" s="1248" t="s">
        <v>627</v>
      </c>
      <c r="G56" s="1256" t="s">
        <v>959</v>
      </c>
      <c r="H56" s="1254">
        <f>SUM(I56:J56)</f>
        <v>0</v>
      </c>
      <c r="I56" s="1253"/>
      <c r="J56" s="1243"/>
      <c r="K56" s="1252"/>
    </row>
    <row customHeight="1" ht="11.25">
      <c r="F57" s="1248" t="s">
        <v>300</v>
      </c>
      <c r="G57" s="1255" t="s">
        <v>975</v>
      </c>
      <c r="H57" s="1254">
        <f>SUM(I57:J57)</f>
        <v>0</v>
      </c>
      <c r="I57" s="1253"/>
      <c r="J57" s="1243"/>
      <c r="K57" s="1252"/>
    </row>
    <row customHeight="1" ht="11.25">
      <c r="F58" s="1248"/>
      <c r="G58" s="1257" t="s">
        <v>961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79666-0565-4F76-7313-4CD72C53B6B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094" width="4.7109375" hidden="1" customWidth="1"/>
    <col min="2" max="2" style="5095" width="4.7109375" hidden="1" customWidth="1"/>
    <col min="3" max="4" style="5094" width="4.7109375" hidden="1" customWidth="1"/>
    <col min="5" max="5" style="5094" width="3.57421875" customWidth="1"/>
    <col min="6" max="6" style="5094" width="6.7109375" customWidth="1"/>
    <col min="7" max="7" style="5094" width="18.7109375" customWidth="1"/>
    <col min="8" max="8" style="5094" width="27.28125" customWidth="1"/>
    <col min="9" max="9" style="5094" width="18.7109375" customWidth="1"/>
    <col min="10" max="14" style="5094" width="0.8515625" hidden="1" customWidth="1"/>
    <col min="15" max="28" style="5094" width="21.7109375" hidden="1" customWidth="1"/>
    <col min="29" max="71" style="5094" width="0.8515625" hidden="1" customWidth="1"/>
    <col min="72" max="79" style="5094" width="21.7109375" hidden="1" customWidth="1"/>
    <col min="80" max="81" style="5094" width="29.140625" hidden="1" customWidth="1"/>
    <col min="82" max="89" style="5094" width="21.7109375" hidden="1" customWidth="1"/>
    <col min="90" max="102" style="5094" width="0.7109375" hidden="1" customWidth="1"/>
    <col min="103" max="114" style="5094" width="21.7109375" customWidth="1"/>
    <col min="115" max="128" style="5094" width="0.7109375" customWidth="1"/>
    <col min="129" max="178" style="5094" width="0.7109375" hidden="1" customWidth="1"/>
    <col min="179" max="179" style="5094" width="0.140625" customWidth="1"/>
    <col min="180" max="184" style="5094" width="9.140625"/>
  </cols>
  <sheetData>
    <row s="5022" customFormat="1" customHeight="1" ht="12" hidden="1">
      <c r="B1" s="929"/>
      <c r="C1" s="930"/>
      <c r="D1" s="930"/>
    </row>
    <row s="502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02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03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034" customFormat="1" customHeight="1" ht="18">
      <c r="B6" s="950"/>
      <c r="E6" s="952"/>
      <c r="F6" s="2079" t="str">
        <f>IF(org=0,"Не определено",org)</f>
        <v>МУП "Водоканал"</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03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039" customFormat="1" customHeight="1" ht="11.25" hidden="1">
      <c r="B8" s="940"/>
      <c r="F8" s="1063"/>
      <c r="G8" s="769"/>
      <c r="H8" s="356"/>
      <c r="I8" s="356"/>
      <c r="J8" s="356"/>
      <c r="K8" s="356"/>
      <c r="L8" s="356"/>
      <c r="M8" s="1063"/>
      <c r="N8" s="1063"/>
      <c r="O8" s="2281" t="s">
        <v>979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980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03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039"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981</v>
      </c>
      <c r="H11" s="2291" t="s">
        <v>982</v>
      </c>
      <c r="I11" s="2291" t="s">
        <v>983</v>
      </c>
      <c r="J11" s="2290"/>
      <c r="K11" s="2290"/>
      <c r="L11" s="2290"/>
      <c r="M11" s="2290"/>
      <c r="N11" s="2290"/>
      <c r="O11" s="2062" t="s">
        <v>984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985</v>
      </c>
      <c r="P12" s="2062"/>
      <c r="Q12" s="2062"/>
      <c r="R12" s="2062"/>
      <c r="S12" s="2062" t="s">
        <v>986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987</v>
      </c>
      <c r="BU12" s="2274"/>
      <c r="BV12" s="2274"/>
      <c r="BW12" s="2271"/>
      <c r="BX12" s="2270" t="s">
        <v>988</v>
      </c>
      <c r="BY12" s="2274"/>
      <c r="BZ12" s="2274"/>
      <c r="CA12" s="2271"/>
      <c r="CB12" s="2270" t="s">
        <v>989</v>
      </c>
      <c r="CC12" s="2271"/>
      <c r="CD12" s="2270" t="s">
        <v>990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991</v>
      </c>
      <c r="CZ12" s="2274"/>
      <c r="DA12" s="2274"/>
      <c r="DB12" s="2274"/>
      <c r="DC12" s="2274"/>
      <c r="DD12" s="2271"/>
      <c r="DE12" s="2270" t="s">
        <v>992</v>
      </c>
      <c r="DF12" s="2271"/>
      <c r="DG12" s="2270" t="s">
        <v>990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993</v>
      </c>
      <c r="P13" s="2062"/>
      <c r="Q13" s="2062"/>
      <c r="R13" s="2062"/>
      <c r="S13" s="2189" t="s">
        <v>994</v>
      </c>
      <c r="T13" s="2268"/>
      <c r="U13" s="1971" t="s">
        <v>995</v>
      </c>
      <c r="V13" s="1971"/>
      <c r="W13" s="1971"/>
      <c r="X13" s="1971"/>
      <c r="Y13" s="1971" t="s">
        <v>996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997</v>
      </c>
      <c r="BU13" s="2268"/>
      <c r="BV13" s="2189" t="s">
        <v>998</v>
      </c>
      <c r="BW13" s="2268"/>
      <c r="BX13" s="2189" t="s">
        <v>999</v>
      </c>
      <c r="BY13" s="2268"/>
      <c r="BZ13" s="2189" t="s">
        <v>1000</v>
      </c>
      <c r="CA13" s="2268"/>
      <c r="CB13" s="2189" t="s">
        <v>1001</v>
      </c>
      <c r="CC13" s="2268"/>
      <c r="CD13" s="2189" t="s">
        <v>1002</v>
      </c>
      <c r="CE13" s="2268"/>
      <c r="CF13" s="2189" t="s">
        <v>1003</v>
      </c>
      <c r="CG13" s="2268"/>
      <c r="CH13" s="2270" t="s">
        <v>1004</v>
      </c>
      <c r="CI13" s="2274"/>
      <c r="CJ13" s="2274"/>
      <c r="CK13" s="2271"/>
      <c r="CL13" s="2280"/>
      <c r="CM13" s="2272"/>
      <c r="CN13" s="2272"/>
      <c r="CO13" s="2272"/>
      <c r="CP13" s="2272"/>
      <c r="CQ13" s="2272"/>
      <c r="CR13" s="2272"/>
      <c r="CS13" s="2272"/>
      <c r="CT13" s="2272"/>
      <c r="CU13" s="2272"/>
      <c r="CV13" s="2272"/>
      <c r="CW13" s="2272"/>
      <c r="CX13" s="2273"/>
      <c r="CY13" s="2189" t="s">
        <v>1005</v>
      </c>
      <c r="CZ13" s="2268"/>
      <c r="DA13" s="2189" t="s">
        <v>1006</v>
      </c>
      <c r="DB13" s="2268"/>
      <c r="DC13" s="2189" t="s">
        <v>1007</v>
      </c>
      <c r="DD13" s="2268"/>
      <c r="DE13" s="2189" t="s">
        <v>1008</v>
      </c>
      <c r="DF13" s="2268"/>
      <c r="DG13" s="2270" t="s">
        <v>1009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1010</v>
      </c>
      <c r="P14" s="2268"/>
      <c r="Q14" s="2189" t="s">
        <v>1011</v>
      </c>
      <c r="R14" s="2268"/>
      <c r="S14" s="2190"/>
      <c r="T14" s="2063"/>
      <c r="U14" s="2189" t="s">
        <v>743</v>
      </c>
      <c r="V14" s="2268"/>
      <c r="W14" s="2189" t="s">
        <v>746</v>
      </c>
      <c r="X14" s="2268"/>
      <c r="Y14" s="2189" t="s">
        <v>743</v>
      </c>
      <c r="Z14" s="2268"/>
      <c r="AA14" s="2189" t="s">
        <v>753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1012</v>
      </c>
      <c r="CI14" s="2268"/>
      <c r="CJ14" s="2189" t="s">
        <v>1013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1014</v>
      </c>
      <c r="DH14" s="2268"/>
      <c r="DI14" s="2189" t="s">
        <v>1015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733</v>
      </c>
      <c r="P16" s="2271"/>
      <c r="Q16" s="2270" t="s">
        <v>735</v>
      </c>
      <c r="R16" s="2271"/>
      <c r="S16" s="2270" t="s">
        <v>739</v>
      </c>
      <c r="T16" s="2271"/>
      <c r="U16" s="2270" t="s">
        <v>744</v>
      </c>
      <c r="V16" s="2271"/>
      <c r="W16" s="2270" t="s">
        <v>747</v>
      </c>
      <c r="X16" s="2271"/>
      <c r="Y16" s="2270" t="s">
        <v>751</v>
      </c>
      <c r="Z16" s="2271"/>
      <c r="AA16" s="2270" t="s">
        <v>754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551</v>
      </c>
      <c r="BU16" s="2271"/>
      <c r="BV16" s="2270" t="s">
        <v>551</v>
      </c>
      <c r="BW16" s="2271"/>
      <c r="BX16" s="2270" t="s">
        <v>551</v>
      </c>
      <c r="BY16" s="2271"/>
      <c r="BZ16" s="2270" t="s">
        <v>551</v>
      </c>
      <c r="CA16" s="2271"/>
      <c r="CB16" s="2270" t="s">
        <v>1016</v>
      </c>
      <c r="CC16" s="2271"/>
      <c r="CD16" s="2270" t="s">
        <v>551</v>
      </c>
      <c r="CE16" s="2271"/>
      <c r="CF16" s="2270" t="s">
        <v>1017</v>
      </c>
      <c r="CG16" s="2271"/>
      <c r="CH16" s="2270" t="s">
        <v>1018</v>
      </c>
      <c r="CI16" s="2271"/>
      <c r="CJ16" s="2270" t="s">
        <v>1018</v>
      </c>
      <c r="CK16" s="2271"/>
      <c r="CL16" s="2280"/>
      <c r="CM16" s="2272"/>
      <c r="CN16" s="2272"/>
      <c r="CO16" s="2272"/>
      <c r="CP16" s="2272"/>
      <c r="CQ16" s="2272"/>
      <c r="CR16" s="2272"/>
      <c r="CS16" s="2272"/>
      <c r="CT16" s="2272"/>
      <c r="CU16" s="2272"/>
      <c r="CV16" s="2272"/>
      <c r="CW16" s="2272"/>
      <c r="CX16" s="2273"/>
      <c r="CY16" s="2189" t="s">
        <v>551</v>
      </c>
      <c r="CZ16" s="2268"/>
      <c r="DA16" s="2189" t="s">
        <v>551</v>
      </c>
      <c r="DB16" s="2268"/>
      <c r="DC16" s="2189" t="s">
        <v>551</v>
      </c>
      <c r="DD16" s="2268"/>
      <c r="DE16" s="2270" t="s">
        <v>1016</v>
      </c>
      <c r="DF16" s="2271"/>
      <c r="DG16" s="2270" t="s">
        <v>1019</v>
      </c>
      <c r="DH16" s="2271"/>
      <c r="DI16" s="2270" t="s">
        <v>1019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1020</v>
      </c>
      <c r="P17" s="1201" t="s">
        <v>1021</v>
      </c>
      <c r="Q17" s="1201" t="s">
        <v>1020</v>
      </c>
      <c r="R17" s="1201" t="s">
        <v>1021</v>
      </c>
      <c r="S17" s="1201" t="s">
        <v>1020</v>
      </c>
      <c r="T17" s="1201" t="s">
        <v>1021</v>
      </c>
      <c r="U17" s="1201" t="s">
        <v>1020</v>
      </c>
      <c r="V17" s="1201" t="s">
        <v>1021</v>
      </c>
      <c r="W17" s="1201" t="s">
        <v>1020</v>
      </c>
      <c r="X17" s="1201" t="s">
        <v>1021</v>
      </c>
      <c r="Y17" s="1201" t="s">
        <v>1020</v>
      </c>
      <c r="Z17" s="1201" t="s">
        <v>1021</v>
      </c>
      <c r="AA17" s="1201" t="s">
        <v>1020</v>
      </c>
      <c r="AB17" s="1201" t="s">
        <v>1021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1020</v>
      </c>
      <c r="BU17" s="1201" t="s">
        <v>1021</v>
      </c>
      <c r="BV17" s="1201" t="s">
        <v>1020</v>
      </c>
      <c r="BW17" s="1201" t="s">
        <v>1021</v>
      </c>
      <c r="BX17" s="1201" t="s">
        <v>1020</v>
      </c>
      <c r="BY17" s="1201" t="s">
        <v>1021</v>
      </c>
      <c r="BZ17" s="1201" t="s">
        <v>1020</v>
      </c>
      <c r="CA17" s="1201" t="s">
        <v>1021</v>
      </c>
      <c r="CB17" s="1201" t="s">
        <v>1020</v>
      </c>
      <c r="CC17" s="1201" t="s">
        <v>1021</v>
      </c>
      <c r="CD17" s="1201" t="s">
        <v>1020</v>
      </c>
      <c r="CE17" s="1201" t="s">
        <v>1021</v>
      </c>
      <c r="CF17" s="1201" t="s">
        <v>1020</v>
      </c>
      <c r="CG17" s="1201" t="s">
        <v>1021</v>
      </c>
      <c r="CH17" s="1201" t="s">
        <v>1020</v>
      </c>
      <c r="CI17" s="1201" t="s">
        <v>1021</v>
      </c>
      <c r="CJ17" s="1201" t="s">
        <v>1020</v>
      </c>
      <c r="CK17" s="1201" t="s">
        <v>1021</v>
      </c>
      <c r="CL17" s="2280"/>
      <c r="CM17" s="2272"/>
      <c r="CN17" s="2272"/>
      <c r="CO17" s="2272"/>
      <c r="CP17" s="2272"/>
      <c r="CQ17" s="2272"/>
      <c r="CR17" s="2272"/>
      <c r="CS17" s="2272"/>
      <c r="CT17" s="2272"/>
      <c r="CU17" s="2272"/>
      <c r="CV17" s="2272"/>
      <c r="CW17" s="2272"/>
      <c r="CX17" s="2273"/>
      <c r="CY17" s="1201" t="s">
        <v>1020</v>
      </c>
      <c r="CZ17" s="1201" t="s">
        <v>1021</v>
      </c>
      <c r="DA17" s="1201" t="s">
        <v>1020</v>
      </c>
      <c r="DB17" s="1201" t="s">
        <v>1021</v>
      </c>
      <c r="DC17" s="1201" t="s">
        <v>1020</v>
      </c>
      <c r="DD17" s="1201" t="s">
        <v>1021</v>
      </c>
      <c r="DE17" s="1201" t="s">
        <v>1020</v>
      </c>
      <c r="DF17" s="1201" t="s">
        <v>1021</v>
      </c>
      <c r="DG17" s="1201" t="s">
        <v>1020</v>
      </c>
      <c r="DH17" s="1201" t="s">
        <v>1021</v>
      </c>
      <c r="DI17" s="1201" t="s">
        <v>1020</v>
      </c>
      <c r="DJ17" s="1201" t="s">
        <v>1021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02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02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022"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02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022" customFormat="1" customHeight="1" ht="12">
      <c r="A22" s="947"/>
      <c r="B22" s="947"/>
      <c r="C22" s="947"/>
      <c r="D22" s="947"/>
      <c r="E22" s="947"/>
      <c r="FX22" s="947"/>
      <c r="FY22" s="947"/>
      <c r="FZ22" s="947"/>
      <c r="GA22" s="947"/>
      <c r="GB22" s="947"/>
    </row>
    <row s="509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DE629-03DA-435F-D4F1-FE814846B92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86" width="9.140625" hidden="1" customWidth="1"/>
    <col min="2" max="2" style="3188" width="9.140625" hidden="1" customWidth="1"/>
    <col min="3" max="3" style="4917" width="4.7109375" customWidth="1"/>
    <col min="4" max="4" style="3188" width="6.28125" customWidth="1"/>
    <col min="5" max="5" style="3188" width="36.7109375" customWidth="1"/>
    <col min="6" max="6" style="3188" width="9.57421875" customWidth="1"/>
    <col min="7" max="7" style="2624" width="42.421875" hidden="1" customWidth="1"/>
    <col min="8" max="8" style="3188" width="40.7109375" customWidth="1"/>
    <col min="9" max="9" style="2625" width="93.421875" customWidth="1"/>
    <col min="10" max="17" style="3188" width="10.57421875"/>
    <col min="18" max="18" style="4851"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МУП "Водоканал"</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291</v>
      </c>
    </row>
    <row s="2624" customFormat="1" customHeight="1" ht="15">
      <c r="A10" s="765"/>
      <c r="C10" s="162"/>
      <c r="D10" s="717"/>
      <c r="E10" s="2213" t="s">
        <v>557</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558</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290</v>
      </c>
      <c r="E12" s="2216"/>
      <c r="F12" s="2216"/>
      <c r="G12" s="893"/>
      <c r="H12" s="893"/>
      <c r="I12" s="1971"/>
      <c r="R12" s="681"/>
    </row>
    <row customHeight="1" ht="33.75">
      <c r="C13" s="162"/>
      <c r="D13" s="767" t="s">
        <v>86</v>
      </c>
      <c r="E13" s="766" t="s">
        <v>292</v>
      </c>
      <c r="F13" s="766" t="s">
        <v>559</v>
      </c>
      <c r="G13" s="814" t="s">
        <v>293</v>
      </c>
      <c r="H13" s="760" t="s">
        <v>293</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1022</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1022</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1022</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1023</v>
      </c>
      <c r="E20" s="694"/>
      <c r="F20" s="515"/>
      <c r="G20" s="515"/>
      <c r="H20" s="515"/>
      <c r="I20" s="1803"/>
    </row>
    <row customHeight="1" ht="27.75">
      <c r="C21" s="457"/>
      <c r="D21" s="545" t="s">
        <v>305</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1024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7C1DD-A257-D917-D06F-3B42014CEB3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158" width="9.140625" hidden="1" customWidth="1"/>
    <col min="2" max="2" style="5139" width="9.140625" hidden="1" customWidth="1"/>
    <col min="3" max="3" style="5159"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4" customFormat="1" customHeight="1" ht="18">
      <c r="A6" s="888"/>
      <c r="B6" s="423"/>
      <c r="C6" s="377"/>
      <c r="D6" s="2299" t="str">
        <f>IF(org=0,"Не определено",org)</f>
        <v>МУП "Водоканал"</v>
      </c>
      <c r="E6" s="2300"/>
      <c r="F6" s="2300"/>
      <c r="G6" s="2301"/>
      <c r="I6" s="506"/>
      <c r="J6" s="506"/>
    </row>
    <row customHeight="1" ht="14.25">
      <c r="C7" s="82"/>
      <c r="D7" s="69"/>
      <c r="E7" s="81"/>
      <c r="F7" s="758"/>
      <c r="G7" s="179"/>
    </row>
    <row s="2984"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86</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929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965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1025</v>
      </c>
      <c r="F15" s="187"/>
      <c r="G15" s="2017"/>
    </row>
    <row customHeight="1" ht="14.25">
      <c r="A16" s="178"/>
      <c r="C16" s="82"/>
      <c r="D16" s="133" t="s">
        <v>931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973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5137" customFormat="1" customHeight="1" ht="21">
      <c r="A18" s="339"/>
      <c r="B18" s="132"/>
      <c r="C18" s="296"/>
      <c r="D18" s="343"/>
      <c r="E18" s="345" t="s">
        <v>1026</v>
      </c>
      <c r="F18" s="334"/>
      <c r="G18" s="2017"/>
      <c r="I18" s="346"/>
      <c r="J18" s="346"/>
    </row>
    <row s="2624" customFormat="1" customHeight="1" ht="256.5" hidden="1">
      <c r="A19" s="339"/>
      <c r="B19" s="423"/>
      <c r="C19" s="377"/>
      <c r="D19" s="890" t="s">
        <v>933</v>
      </c>
      <c r="E19" s="889" t="s">
        <v>1027</v>
      </c>
      <c r="F19" s="391"/>
      <c r="G19" s="333" t="s">
        <v>1028</v>
      </c>
      <c r="I19" s="506"/>
      <c r="J19" s="506"/>
    </row>
    <row s="5137" customFormat="1" customHeight="1" ht="14.25">
      <c r="A20" s="339"/>
      <c r="B20" s="132"/>
      <c r="C20" s="296"/>
      <c r="D20" s="891">
        <v>2</v>
      </c>
      <c r="E20" s="326" t="s">
        <v>1029</v>
      </c>
      <c r="F20" s="184" t="s">
        <v>296</v>
      </c>
      <c r="G20" s="333"/>
      <c r="I20" s="346"/>
      <c r="J20" s="346"/>
    </row>
    <row s="5137" customFormat="1" customHeight="1" ht="18.75" hidden="1">
      <c r="A21" s="339"/>
      <c r="B21" s="132"/>
      <c r="C21" s="296"/>
      <c r="D21" s="329" t="s">
        <v>859</v>
      </c>
      <c r="E21" s="328"/>
      <c r="F21" s="327"/>
      <c r="G21" s="337"/>
      <c r="H21" s="330"/>
      <c r="I21" s="346"/>
      <c r="J21" s="346"/>
    </row>
    <row customHeight="1" ht="15">
      <c r="A22" s="178"/>
      <c r="C22" s="82"/>
      <c r="D22" s="95"/>
      <c r="E22" s="189" t="s">
        <v>1030</v>
      </c>
      <c r="F22" s="334"/>
      <c r="G22" s="335"/>
    </row>
    <row s="2984" customFormat="1" customHeight="1" ht="22.5" hidden="1">
      <c r="A23" s="339"/>
      <c r="B23" s="1168"/>
      <c r="C23" s="377"/>
      <c r="D23" s="1713" t="s">
        <v>108</v>
      </c>
      <c r="E23" s="183" t="s">
        <v>1031</v>
      </c>
      <c r="F23" s="1710" t="s">
        <v>296</v>
      </c>
      <c r="G23" s="341"/>
      <c r="I23" s="1664"/>
      <c r="J23" s="1664"/>
    </row>
    <row s="2984" customFormat="1" customHeight="1" ht="14.25" hidden="1">
      <c r="A24" s="339"/>
      <c r="B24" s="1168"/>
      <c r="C24" s="377"/>
      <c r="D24" s="1713" t="s">
        <v>615</v>
      </c>
      <c r="E24" s="1712" t="s">
        <v>1032</v>
      </c>
      <c r="F24" s="1710" t="s">
        <v>296</v>
      </c>
      <c r="G24" s="333"/>
      <c r="I24" s="1664"/>
      <c r="J24" s="1664"/>
    </row>
    <row s="2984" customFormat="1" customHeight="1" ht="14.25" hidden="1">
      <c r="A25" s="339"/>
      <c r="B25" s="1168"/>
      <c r="C25" s="377"/>
      <c r="D25" s="1713" t="s">
        <v>618</v>
      </c>
      <c r="E25" s="181"/>
      <c r="F25" s="391"/>
      <c r="G25" s="2015" t="s">
        <v>1033</v>
      </c>
      <c r="I25" s="1664"/>
      <c r="J25" s="1664"/>
    </row>
    <row s="2984" customFormat="1" customHeight="1" ht="22.5" hidden="1">
      <c r="A26" s="339"/>
      <c r="B26" s="1168"/>
      <c r="C26" s="377"/>
      <c r="D26" s="343"/>
      <c r="E26" s="345" t="s">
        <v>1034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C155A-6397-3899-B7A5-9D5E0B21C781}" mc:Ignorable="x14ac xr xr2 xr3">
  <sheetPr>
    <tabColor theme="6" tint="0.4"/>
  </sheetPr>
  <dimension ref="A1:L42"/>
  <sheetViews>
    <sheetView topLeftCell="C13" showGridLines="0" zoomScale="90" workbookViewId="0" tabSelected="1">
      <selection activeCell="I26" sqref="I26:I27"/>
    </sheetView>
  </sheetViews>
  <sheetFormatPr defaultColWidth="10.57421875" customHeight="1" defaultRowHeight="14.25"/>
  <cols>
    <col min="1" max="1" style="3329" width="9.140625" hidden="1" customWidth="1"/>
    <col min="2" max="2" style="5139" width="9.140625" hidden="1" customWidth="1"/>
    <col min="3" max="3" style="5159"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84" customFormat="1" customHeight="1" ht="18.75" hidden="1">
      <c r="A2" s="1723"/>
      <c r="B2" s="1168"/>
      <c r="C2" s="1770" t="s">
        <v>505</v>
      </c>
      <c r="D2" s="1713"/>
      <c r="E2" s="185"/>
      <c r="F2" s="1710"/>
      <c r="G2" s="1710" t="s">
        <v>296</v>
      </c>
      <c r="H2" s="1169"/>
      <c r="K2" s="1664"/>
      <c r="L2" s="1664"/>
    </row>
    <row s="2984" customFormat="1" customHeight="1" ht="14.25" hidden="1">
      <c r="A3" s="1392"/>
      <c r="B3" s="1168"/>
      <c r="C3" s="340"/>
      <c r="K3" s="1664"/>
      <c r="L3" s="1664"/>
    </row>
    <row s="2984" customFormat="1" customHeight="1" ht="18.75" hidden="1">
      <c r="A4" s="1723"/>
      <c r="B4" s="1168"/>
      <c r="C4" s="1770" t="s">
        <v>505</v>
      </c>
      <c r="D4" s="1713"/>
      <c r="E4" s="191" t="s">
        <v>1035</v>
      </c>
      <c r="F4" s="1710"/>
      <c r="G4" s="243"/>
      <c r="H4" s="1710" t="s">
        <v>296</v>
      </c>
      <c r="K4" s="1664"/>
      <c r="L4" s="1664"/>
    </row>
    <row s="2984" customFormat="1" customHeight="1" ht="14.25" hidden="1">
      <c r="A5" s="1392"/>
      <c r="B5" s="1168"/>
      <c r="C5" s="340"/>
      <c r="K5" s="1664"/>
      <c r="L5" s="1664"/>
    </row>
    <row s="2984" customFormat="1" customHeight="1" ht="18.75" hidden="1">
      <c r="A6" s="1723"/>
      <c r="B6" s="1168"/>
      <c r="C6" s="1770" t="s">
        <v>505</v>
      </c>
      <c r="D6" s="1713"/>
      <c r="E6" s="192" t="s">
        <v>1036</v>
      </c>
      <c r="F6" s="1710"/>
      <c r="G6" s="243"/>
      <c r="H6" s="1710" t="s">
        <v>296</v>
      </c>
      <c r="K6" s="1664"/>
      <c r="L6" s="1664"/>
    </row>
    <row s="2984" customFormat="1" customHeight="1" ht="14.25" hidden="1">
      <c r="A7" s="1392"/>
      <c r="B7" s="1168"/>
      <c r="C7" s="340"/>
      <c r="K7" s="1664"/>
      <c r="L7" s="1664"/>
    </row>
    <row s="2984" customFormat="1" customHeight="1" ht="18.75" hidden="1">
      <c r="A8" s="1723"/>
      <c r="B8" s="1168"/>
      <c r="C8" s="1770" t="s">
        <v>505</v>
      </c>
      <c r="D8" s="1713"/>
      <c r="E8" s="192" t="s">
        <v>1037</v>
      </c>
      <c r="F8" s="1710"/>
      <c r="G8" s="243"/>
      <c r="H8" s="1710" t="s">
        <v>296</v>
      </c>
      <c r="K8" s="1664"/>
      <c r="L8" s="1664"/>
    </row>
    <row s="2984" customFormat="1" customHeight="1" ht="14.25" hidden="1">
      <c r="A9" s="1392"/>
      <c r="B9" s="1168"/>
      <c r="C9" s="340"/>
      <c r="K9" s="1664"/>
      <c r="L9" s="1664"/>
    </row>
    <row s="2984" customFormat="1" customHeight="1" ht="18.75" hidden="1">
      <c r="A10" s="1723"/>
      <c r="B10" s="1168"/>
      <c r="C10" s="1770" t="s">
        <v>505</v>
      </c>
      <c r="D10" s="1713"/>
      <c r="E10" s="192" t="s">
        <v>1038</v>
      </c>
      <c r="F10" s="1710"/>
      <c r="G10" s="1714"/>
      <c r="H10" s="1710" t="s">
        <v>296</v>
      </c>
      <c r="K10" s="1664"/>
      <c r="L10" s="1664" t="s">
        <v>1039</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84" customFormat="1" customHeight="1" ht="14.25">
      <c r="A15" s="1392"/>
      <c r="B15" s="1168"/>
      <c r="C15" s="377"/>
      <c r="D15" s="2299" t="str">
        <f>IF(org=0,"Не определено",org)</f>
        <v>МУП "Водоканал"</v>
      </c>
      <c r="E15" s="2300"/>
      <c r="F15" s="2300"/>
      <c r="G15" s="2300"/>
      <c r="H15" s="2301"/>
      <c r="J15" s="858"/>
      <c r="K15" s="1664"/>
      <c r="L15" s="1664"/>
    </row>
    <row customHeight="1" ht="14.25">
      <c r="C16" s="82"/>
      <c r="D16" s="69"/>
      <c r="E16" s="81"/>
      <c r="F16" s="81"/>
      <c r="G16" s="81"/>
      <c r="H16" s="758"/>
      <c r="I16" s="179"/>
    </row>
    <row s="2984"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86</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1040</v>
      </c>
      <c r="F21" s="2304"/>
      <c r="G21" s="2304"/>
      <c r="H21" s="2304"/>
      <c r="I21" s="194"/>
    </row>
    <row customHeight="1" ht="20.25">
      <c r="A22" s="1723"/>
      <c r="C22" s="82"/>
      <c r="D22" s="133" t="s">
        <v>929</v>
      </c>
      <c r="E22" s="180" t="s">
        <v>1041</v>
      </c>
      <c r="F22" s="184"/>
      <c r="G22" s="5169">
        <v>45288</v>
      </c>
      <c r="H22" s="184" t="s">
        <v>296</v>
      </c>
      <c r="I22" s="137" t="s">
        <v>1042</v>
      </c>
    </row>
    <row customHeight="1" ht="45">
      <c r="A23" s="1723"/>
      <c r="C23" s="82"/>
      <c r="D23" s="133" t="s">
        <v>931</v>
      </c>
      <c r="E23" s="180" t="s">
        <v>1043</v>
      </c>
      <c r="F23" s="184"/>
      <c r="G23" s="5170" t="s">
        <v>1044</v>
      </c>
      <c r="H23" s="5171" t="s">
        <v>1045</v>
      </c>
      <c r="I23" s="244" t="s">
        <v>1046</v>
      </c>
    </row>
    <row customHeight="1" ht="30.83333333333333">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5171" t="s">
        <v>1047</v>
      </c>
      <c r="I24" s="245" t="s">
        <v>796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80.83333333333333">
      <c r="A26" s="1723"/>
      <c r="C26" s="82"/>
      <c r="D26" s="133" t="s">
        <v>316</v>
      </c>
      <c r="E26" s="185" t="s">
        <v>1048</v>
      </c>
      <c r="F26" s="184"/>
      <c r="G26" s="184" t="s">
        <v>296</v>
      </c>
      <c r="H26" s="5171" t="s">
        <v>1047</v>
      </c>
      <c r="I26" s="2015" t="s">
        <v>1049</v>
      </c>
    </row>
    <row customHeight="1" ht="15">
      <c r="A27" s="1723" t="s">
        <v>107</v>
      </c>
      <c r="C27" s="82"/>
      <c r="D27" s="95"/>
      <c r="E27" s="189" t="s">
        <v>1030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120">
      <c r="A29" s="1723"/>
      <c r="C29" s="82"/>
      <c r="D29" s="133" t="s">
        <v>660</v>
      </c>
      <c r="E29" s="191" t="s">
        <v>1035</v>
      </c>
      <c r="F29" s="184"/>
      <c r="G29" s="243" t="s">
        <v>1048</v>
      </c>
      <c r="H29" s="184" t="s">
        <v>296</v>
      </c>
      <c r="I29" s="2015" t="s">
        <v>1050</v>
      </c>
    </row>
    <row customHeight="1" ht="15">
      <c r="A30" s="1723" t="s">
        <v>108</v>
      </c>
      <c r="C30" s="82"/>
      <c r="D30" s="95"/>
      <c r="E30" s="189" t="s">
        <v>1030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45"/>
      <c r="G32" s="2245"/>
      <c r="H32" s="2245"/>
      <c r="I32" s="242"/>
    </row>
    <row customHeight="1" ht="14.25">
      <c r="A33" s="1723"/>
      <c r="C33" s="82"/>
      <c r="D33" s="133" t="s">
        <v>1051</v>
      </c>
      <c r="E33" s="192" t="s">
        <v>1036</v>
      </c>
      <c r="F33" s="184"/>
      <c r="G33" s="243" t="s">
        <v>1052</v>
      </c>
      <c r="H33" s="184" t="s">
        <v>296</v>
      </c>
      <c r="I33" s="2015" t="s">
        <v>1053</v>
      </c>
    </row>
    <row customHeight="1" ht="15">
      <c r="A34" s="1723" t="s">
        <v>88</v>
      </c>
      <c r="C34" s="82"/>
      <c r="D34" s="95"/>
      <c r="E34" s="190" t="s">
        <v>1030</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45"/>
      <c r="G35" s="2245"/>
      <c r="H35" s="2245"/>
      <c r="I35" s="242"/>
    </row>
    <row customHeight="1" ht="82.5">
      <c r="A36" s="1723"/>
      <c r="C36" s="82"/>
      <c r="D36" s="133" t="s">
        <v>1054</v>
      </c>
      <c r="E36" s="192" t="s">
        <v>1037</v>
      </c>
      <c r="F36" s="184"/>
      <c r="G36" s="243" t="s">
        <v>1055</v>
      </c>
      <c r="H36" s="184" t="s">
        <v>296</v>
      </c>
      <c r="I36" s="1993" t="s">
        <v>1056</v>
      </c>
    </row>
    <row customHeight="1" ht="15">
      <c r="A37" s="1723" t="s">
        <v>89</v>
      </c>
      <c r="C37" s="82"/>
      <c r="D37" s="95"/>
      <c r="E37" s="190" t="s">
        <v>1030</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45"/>
      <c r="G38" s="2245"/>
      <c r="H38" s="2245"/>
      <c r="I38" s="242"/>
    </row>
    <row customHeight="1" ht="14.25">
      <c r="A39" s="1723"/>
      <c r="C39" s="82"/>
      <c r="D39" s="133" t="s">
        <v>789</v>
      </c>
      <c r="E39" s="192" t="s">
        <v>1038</v>
      </c>
      <c r="F39" s="184"/>
      <c r="G39" s="193" t="s">
        <v>1057</v>
      </c>
      <c r="H39" s="184" t="s">
        <v>296</v>
      </c>
      <c r="I39" s="2015" t="s">
        <v>1058</v>
      </c>
      <c r="L39" s="141" t="s">
        <v>1039</v>
      </c>
    </row>
    <row customHeight="1" ht="15">
      <c r="A40" s="1723" t="s">
        <v>109</v>
      </c>
      <c r="C40" s="82"/>
      <c r="D40" s="95"/>
      <c r="E40" s="190" t="s">
        <v>1030</v>
      </c>
      <c r="F40" s="186"/>
      <c r="G40" s="186"/>
      <c r="H40" s="187"/>
      <c r="I40" s="2017"/>
    </row>
    <row s="5180" customFormat="1" customHeight="1" ht="3">
      <c r="A41" s="1723"/>
      <c r="K41" s="182"/>
      <c r="L41" s="182"/>
    </row>
    <row customHeight="1" ht="24.75">
      <c r="D42" s="1721" t="s">
        <v>711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C2E210DC-6E62-0276-3A7D-D0850E9340CB}"/>
    <hyperlink ref="H23" r:id="rId3" xr:uid="{0733379F-8D8B-DC73-A242-767FC41C8DD4}"/>
    <hyperlink ref="H24" r:id="rId4" xr:uid="{E5189F56-F0FC-1712-15BB-F042D6CA2BFB}"/>
    <hyperlink ref="H26" r:id="rId5" xr:uid="{0F15D511-1409-0FEA-97CE-7F0C9E42870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33658-B467-4FE3-CACA-D019939BD59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5183" width="25.140625" hidden="1" customWidth="1"/>
    <col min="3" max="3" style="4715" width="9.140625" hidden="1" customWidth="1"/>
    <col min="4" max="4" style="3406" width="3.7109375" customWidth="1"/>
    <col min="5" max="5" style="5219" width="6.28125" customWidth="1"/>
    <col min="6" max="6" style="5219" width="46.7109375" customWidth="1"/>
    <col min="7" max="7" style="5219" width="35.7109375" customWidth="1"/>
    <col min="8" max="8" style="5219" width="3.7109375" customWidth="1"/>
    <col min="9" max="10" style="5219" width="11.7109375" customWidth="1"/>
    <col min="11" max="12" style="5219" width="35.7109375" customWidth="1"/>
    <col min="13" max="13" style="5219" width="84.8515625" customWidth="1"/>
    <col min="14" max="14" style="5219" width="10.57421875"/>
    <col min="15" max="16" style="5142" width="10.57421875"/>
    <col min="17" max="33" style="5219" width="10.57421875"/>
  </cols>
  <sheetData>
    <row s="2984"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4"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84" customFormat="1" customHeight="1" ht="18.75" hidden="1">
      <c r="A3" s="1821"/>
      <c r="B3" s="1821"/>
      <c r="C3" s="369" t="s">
        <v>1059</v>
      </c>
      <c r="D3" s="340"/>
      <c r="E3" s="1038"/>
      <c r="F3" s="1038"/>
      <c r="G3" s="2266"/>
      <c r="H3" s="1530"/>
      <c r="I3" s="657" t="s">
        <v>1060</v>
      </c>
      <c r="J3" s="577"/>
      <c r="K3" s="1530"/>
      <c r="L3" s="200"/>
      <c r="M3" s="1918"/>
      <c r="N3" s="330"/>
      <c r="O3" s="1664"/>
      <c r="P3" s="1664"/>
    </row>
    <row s="2984"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4"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84" customFormat="1" customHeight="1" ht="18.75" hidden="1">
      <c r="A6" s="1821"/>
      <c r="B6" s="1821"/>
      <c r="C6" s="369" t="s">
        <v>1061</v>
      </c>
      <c r="D6" s="340"/>
      <c r="E6" s="1038"/>
      <c r="F6" s="1038"/>
      <c r="G6" s="2266"/>
      <c r="H6" s="1530"/>
      <c r="I6" s="657" t="s">
        <v>1060</v>
      </c>
      <c r="J6" s="577"/>
      <c r="K6" s="1530"/>
      <c r="L6" s="200"/>
      <c r="M6" s="1918"/>
      <c r="N6" s="330"/>
      <c r="O6" s="1664"/>
      <c r="P6" s="1664"/>
    </row>
    <row s="2984"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4"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84"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45275.50763888889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52т, 102т</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86</v>
      </c>
      <c r="F20" s="2073" t="s">
        <v>120</v>
      </c>
      <c r="G20" s="2073" t="s">
        <v>121</v>
      </c>
      <c r="H20" s="2270" t="s">
        <v>1062</v>
      </c>
      <c r="I20" s="2274"/>
      <c r="J20" s="2271"/>
      <c r="K20" s="2073" t="s">
        <v>293</v>
      </c>
      <c r="L20" s="2073" t="s">
        <v>382</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4"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84"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84"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84" customFormat="1" customHeight="1" ht="0.75" hidden="1">
      <c r="A29" s="1821"/>
      <c r="B29" s="1821"/>
      <c r="C29" s="369" t="s">
        <v>1065</v>
      </c>
      <c r="D29" s="2311"/>
      <c r="E29" s="2056"/>
      <c r="F29" s="2220"/>
      <c r="G29" s="406"/>
      <c r="H29" s="1530"/>
      <c r="I29" s="657"/>
      <c r="J29" s="577"/>
      <c r="K29" s="1530"/>
      <c r="L29" s="200"/>
      <c r="M29" s="2016"/>
      <c r="N29" s="330"/>
      <c r="O29" s="1664"/>
      <c r="P29" s="1664"/>
    </row>
    <row s="2984"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84"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84" customFormat="1" customHeight="1" ht="0.75" hidden="1">
      <c r="A32" s="1821"/>
      <c r="B32" s="1821"/>
      <c r="C32" s="369" t="s">
        <v>1065</v>
      </c>
      <c r="D32" s="2311"/>
      <c r="E32" s="2056"/>
      <c r="F32" s="2220"/>
      <c r="G32" s="406"/>
      <c r="H32" s="1530"/>
      <c r="I32" s="657"/>
      <c r="J32" s="577"/>
      <c r="K32" s="1530"/>
      <c r="L32" s="200"/>
      <c r="M32" s="2016"/>
      <c r="N32" s="330"/>
      <c r="O32" s="1664"/>
      <c r="P32" s="1664"/>
    </row>
    <row s="2984"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84"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84" customFormat="1" customHeight="1" ht="0.75" hidden="1">
      <c r="A35" s="1821"/>
      <c r="B35" s="1821"/>
      <c r="C35" s="369" t="s">
        <v>1065</v>
      </c>
      <c r="D35" s="2311"/>
      <c r="E35" s="2056"/>
      <c r="F35" s="2220"/>
      <c r="G35" s="406"/>
      <c r="H35" s="1530"/>
      <c r="I35" s="657"/>
      <c r="J35" s="577"/>
      <c r="K35" s="1530"/>
      <c r="L35" s="200"/>
      <c r="M35" s="2016"/>
      <c r="N35" s="330"/>
      <c r="O35" s="1664"/>
      <c r="P35" s="1664"/>
    </row>
    <row s="2984"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84"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84" customFormat="1" customHeight="1" ht="0.75" hidden="1">
      <c r="A38" s="1821"/>
      <c r="B38" s="1821"/>
      <c r="C38" s="369" t="s">
        <v>1065</v>
      </c>
      <c r="D38" s="2311"/>
      <c r="E38" s="2056"/>
      <c r="F38" s="2220"/>
      <c r="G38" s="406"/>
      <c r="H38" s="1530"/>
      <c r="I38" s="657"/>
      <c r="J38" s="577"/>
      <c r="K38" s="1530"/>
      <c r="L38" s="200"/>
      <c r="M38" s="2016"/>
      <c r="N38" s="330"/>
      <c r="O38" s="1664"/>
      <c r="P38" s="1664"/>
    </row>
    <row s="2984"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84"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84" customFormat="1" customHeight="1" ht="0.75" hidden="1">
      <c r="A41" s="1821"/>
      <c r="B41" s="1821"/>
      <c r="C41" s="369" t="s">
        <v>1065</v>
      </c>
      <c r="D41" s="2311"/>
      <c r="E41" s="2056"/>
      <c r="F41" s="2220"/>
      <c r="G41" s="406"/>
      <c r="H41" s="1530"/>
      <c r="I41" s="657"/>
      <c r="J41" s="577"/>
      <c r="K41" s="1530"/>
      <c r="L41" s="200"/>
      <c r="M41" s="2016"/>
      <c r="N41" s="330"/>
      <c r="O41" s="1664"/>
      <c r="P41" s="1664"/>
    </row>
    <row s="2984"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84"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84" customFormat="1" customHeight="1" ht="0.75" hidden="1">
      <c r="A44" s="1821"/>
      <c r="B44" s="1821"/>
      <c r="C44" s="369" t="s">
        <v>1065</v>
      </c>
      <c r="D44" s="2311"/>
      <c r="E44" s="2056"/>
      <c r="F44" s="2220"/>
      <c r="G44" s="406"/>
      <c r="H44" s="1530"/>
      <c r="I44" s="657"/>
      <c r="J44" s="577"/>
      <c r="K44" s="1530"/>
      <c r="L44" s="200"/>
      <c r="M44" s="2016"/>
      <c r="N44" s="330"/>
      <c r="O44" s="1664"/>
      <c r="P44" s="1664"/>
    </row>
    <row s="2984"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296</v>
      </c>
      <c r="M45" s="2016"/>
      <c r="N45" s="330"/>
      <c r="O45" s="1664"/>
      <c r="P45" s="1664"/>
    </row>
    <row s="2984"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84" customFormat="1" customHeight="1" ht="0.75" hidden="1">
      <c r="A47" s="1821"/>
      <c r="B47" s="1821"/>
      <c r="C47" s="369" t="s">
        <v>1065</v>
      </c>
      <c r="D47" s="2311"/>
      <c r="E47" s="2056"/>
      <c r="F47" s="2220"/>
      <c r="G47" s="406"/>
      <c r="H47" s="1530"/>
      <c r="I47" s="657"/>
      <c r="J47" s="577"/>
      <c r="K47" s="1530"/>
      <c r="L47" s="200"/>
      <c r="M47" s="2016"/>
      <c r="N47" s="330"/>
      <c r="O47" s="1664"/>
      <c r="P47" s="1664"/>
    </row>
    <row s="2984" customFormat="1" customHeight="1" ht="18.75" hidden="1">
      <c r="A48" s="1821" t="s">
        <v>209</v>
      </c>
      <c r="B48" s="1821" t="s">
        <v>210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84"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84" customFormat="1" customHeight="1" ht="0.75" hidden="1">
      <c r="A50" s="1821"/>
      <c r="B50" s="1821"/>
      <c r="C50" s="369" t="s">
        <v>1065</v>
      </c>
      <c r="D50" s="2311"/>
      <c r="E50" s="2056"/>
      <c r="F50" s="2220"/>
      <c r="G50" s="406"/>
      <c r="H50" s="1530"/>
      <c r="I50" s="657"/>
      <c r="J50" s="577"/>
      <c r="K50" s="1530"/>
      <c r="L50" s="200"/>
      <c r="M50" s="2016"/>
      <c r="N50" s="330"/>
      <c r="O50" s="1664"/>
      <c r="P50" s="1664"/>
    </row>
    <row s="2984" customFormat="1" customHeight="1" ht="18.75" hidden="1">
      <c r="A51" s="1821" t="s">
        <v>214</v>
      </c>
      <c r="B51" s="1821" t="s">
        <v>215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84"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84" customFormat="1" customHeight="1" ht="0.75" hidden="1">
      <c r="A53" s="1821"/>
      <c r="B53" s="1821"/>
      <c r="C53" s="369" t="s">
        <v>1065</v>
      </c>
      <c r="D53" s="2311"/>
      <c r="E53" s="2056"/>
      <c r="F53" s="2220"/>
      <c r="G53" s="406"/>
      <c r="H53" s="1530"/>
      <c r="I53" s="657"/>
      <c r="J53" s="577"/>
      <c r="K53" s="1530"/>
      <c r="L53" s="200"/>
      <c r="M53" s="2016"/>
      <c r="N53" s="330"/>
      <c r="O53" s="1664"/>
      <c r="P53" s="1664"/>
    </row>
    <row s="2984" customFormat="1" customHeight="1" ht="18.75" hidden="1">
      <c r="A54" s="1821" t="s">
        <v>219</v>
      </c>
      <c r="B54" s="1821" t="s">
        <v>220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84"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84" customFormat="1" customHeight="1" ht="0.75" hidden="1">
      <c r="A56" s="1821"/>
      <c r="B56" s="1821"/>
      <c r="C56" s="369" t="s">
        <v>1065</v>
      </c>
      <c r="D56" s="2311"/>
      <c r="E56" s="2056"/>
      <c r="F56" s="2220"/>
      <c r="G56" s="406"/>
      <c r="H56" s="1530"/>
      <c r="I56" s="657"/>
      <c r="J56" s="577"/>
      <c r="K56" s="1530"/>
      <c r="L56" s="200"/>
      <c r="M56" s="2016"/>
      <c r="N56" s="330"/>
      <c r="O56" s="1664"/>
      <c r="P56" s="1664"/>
    </row>
    <row s="2984" customFormat="1" customHeight="1" ht="18.75" hidden="1">
      <c r="A57" s="1821" t="s">
        <v>224</v>
      </c>
      <c r="B57" s="1821" t="s">
        <v>225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84"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84" customFormat="1" customHeight="1" ht="0.75" hidden="1">
      <c r="A59" s="1821"/>
      <c r="B59" s="1821"/>
      <c r="C59" s="369" t="s">
        <v>1065</v>
      </c>
      <c r="D59" s="2311"/>
      <c r="E59" s="2056"/>
      <c r="F59" s="2220"/>
      <c r="G59" s="406"/>
      <c r="H59" s="1530"/>
      <c r="I59" s="657"/>
      <c r="J59" s="577"/>
      <c r="K59" s="1530"/>
      <c r="L59" s="200"/>
      <c r="M59" s="2016"/>
      <c r="N59" s="330"/>
      <c r="O59" s="1664"/>
      <c r="P59" s="1664"/>
    </row>
    <row s="2984" customFormat="1" customHeight="1" ht="18.75" hidden="1">
      <c r="A60" s="1821" t="s">
        <v>229</v>
      </c>
      <c r="B60" s="1821" t="s">
        <v>230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84"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84" customFormat="1" customHeight="1" ht="0.75" hidden="1">
      <c r="A62" s="1821"/>
      <c r="B62" s="1821"/>
      <c r="C62" s="369" t="s">
        <v>1065</v>
      </c>
      <c r="D62" s="2311"/>
      <c r="E62" s="2056"/>
      <c r="F62" s="2220"/>
      <c r="G62" s="406"/>
      <c r="H62" s="1530"/>
      <c r="I62" s="657"/>
      <c r="J62" s="577"/>
      <c r="K62" s="1530"/>
      <c r="L62" s="200"/>
      <c r="M62" s="2016"/>
      <c r="N62" s="330"/>
      <c r="O62" s="1664"/>
      <c r="P62" s="1664"/>
    </row>
    <row s="2984" customFormat="1" customHeight="1" ht="18.75" hidden="1">
      <c r="A63" s="1821" t="s">
        <v>234</v>
      </c>
      <c r="B63" s="1821" t="s">
        <v>235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84"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84" customFormat="1" customHeight="1" ht="0.75" hidden="1">
      <c r="A65" s="1821"/>
      <c r="B65" s="1821"/>
      <c r="C65" s="369" t="s">
        <v>1065</v>
      </c>
      <c r="D65" s="2311"/>
      <c r="E65" s="2056"/>
      <c r="F65" s="2220"/>
      <c r="G65" s="406"/>
      <c r="H65" s="1530"/>
      <c r="I65" s="657"/>
      <c r="J65" s="577"/>
      <c r="K65" s="1530"/>
      <c r="L65" s="200"/>
      <c r="M65" s="2016"/>
      <c r="N65" s="330"/>
      <c r="O65" s="1664"/>
      <c r="P65" s="1664"/>
    </row>
    <row s="2984" customFormat="1" customHeight="1" ht="18.75" hidden="1">
      <c r="A66" s="1821" t="s">
        <v>239</v>
      </c>
      <c r="B66" s="1821" t="s">
        <v>240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84"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84" customFormat="1" customHeight="1" ht="0.75" hidden="1">
      <c r="A68" s="1821"/>
      <c r="B68" s="1821"/>
      <c r="C68" s="369" t="s">
        <v>1065</v>
      </c>
      <c r="D68" s="2311"/>
      <c r="E68" s="2056"/>
      <c r="F68" s="2220"/>
      <c r="G68" s="406"/>
      <c r="H68" s="1530"/>
      <c r="I68" s="657"/>
      <c r="J68" s="577"/>
      <c r="K68" s="1530"/>
      <c r="L68" s="200"/>
      <c r="M68" s="2016"/>
      <c r="N68" s="330"/>
      <c r="O68" s="1664"/>
      <c r="P68" s="1664"/>
    </row>
    <row s="2984" customFormat="1" customHeight="1" ht="18.75" hidden="1">
      <c r="A69" s="1821" t="s">
        <v>244</v>
      </c>
      <c r="B69" s="1821" t="s">
        <v>245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84"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84" customFormat="1" customHeight="1" ht="0.75" hidden="1">
      <c r="A71" s="1821"/>
      <c r="B71" s="1821"/>
      <c r="C71" s="369" t="s">
        <v>1065</v>
      </c>
      <c r="D71" s="2311"/>
      <c r="E71" s="2056"/>
      <c r="F71" s="2220"/>
      <c r="G71" s="406"/>
      <c r="H71" s="1530"/>
      <c r="I71" s="657"/>
      <c r="J71" s="577"/>
      <c r="K71" s="1530"/>
      <c r="L71" s="200"/>
      <c r="M71" s="2016"/>
      <c r="N71" s="330"/>
      <c r="O71" s="1664"/>
      <c r="P71" s="1664"/>
    </row>
    <row s="2984" customFormat="1" customHeight="1" ht="18.75" hidden="1">
      <c r="A72" s="1821" t="s">
        <v>250</v>
      </c>
      <c r="B72" s="1821" t="s">
        <v>251</v>
      </c>
      <c r="C72" s="369"/>
      <c r="D72" s="2311"/>
      <c r="E72" s="2056"/>
      <c r="F72" s="2220" t="str">
        <f>INDEX(PT_DIFFERENTIATION_VTAR,MATCH(A72,PT_DIFFERENTIATION_VTAR_ID,0))</f>
        <v>Тариф на водоотведение</v>
      </c>
      <c r="G72" s="2266" t="str">
        <f>INDEX(PT_DIFFERENTIATION_NTAR,MATCH(B72,PT_DIFFERENTIATION_NTAR_ID,0))</f>
        <v>Тариф на водоотведение</v>
      </c>
      <c r="H72" s="1905"/>
      <c r="I72" s="1779"/>
      <c r="J72" s="1814"/>
      <c r="K72" s="1908"/>
      <c r="L72" s="1905" t="s">
        <v>296</v>
      </c>
      <c r="M72" s="2016"/>
      <c r="N72" s="330"/>
      <c r="O72" s="1664"/>
      <c r="P72" s="1664"/>
    </row>
    <row s="2984"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84" customFormat="1" customHeight="1" ht="0.75" hidden="1">
      <c r="A74" s="1821"/>
      <c r="B74" s="1821"/>
      <c r="C74" s="369" t="s">
        <v>1065</v>
      </c>
      <c r="D74" s="2311"/>
      <c r="E74" s="2056"/>
      <c r="F74" s="2220"/>
      <c r="G74" s="406"/>
      <c r="H74" s="1530"/>
      <c r="I74" s="657"/>
      <c r="J74" s="577"/>
      <c r="K74" s="1530"/>
      <c r="L74" s="200"/>
      <c r="M74" s="2016"/>
      <c r="N74" s="330"/>
      <c r="O74" s="1664"/>
      <c r="P74" s="1664"/>
    </row>
    <row s="2984" customFormat="1" customHeight="1" ht="18.75" hidden="1">
      <c r="A75" s="1821" t="s">
        <v>258</v>
      </c>
      <c r="B75" s="1821" t="s">
        <v>259</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84"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84" customFormat="1" customHeight="1" ht="0.75" hidden="1">
      <c r="A77" s="1821"/>
      <c r="B77" s="1821"/>
      <c r="C77" s="369" t="s">
        <v>1065</v>
      </c>
      <c r="D77" s="2311"/>
      <c r="E77" s="2056"/>
      <c r="F77" s="2220"/>
      <c r="G77" s="406"/>
      <c r="H77" s="1530"/>
      <c r="I77" s="657"/>
      <c r="J77" s="577"/>
      <c r="K77" s="1530"/>
      <c r="L77" s="200"/>
      <c r="M77" s="2016"/>
      <c r="N77" s="330"/>
      <c r="O77" s="1664"/>
      <c r="P77" s="1664"/>
    </row>
    <row s="2984"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Подключение (технологическое присоединение) к централизованной системе водоотведения</v>
      </c>
      <c r="H78" s="1905"/>
      <c r="I78" s="1779"/>
      <c r="J78" s="1814"/>
      <c r="K78" s="1908"/>
      <c r="L78" s="1905" t="s">
        <v>296</v>
      </c>
      <c r="M78" s="2016"/>
      <c r="N78" s="330"/>
      <c r="O78" s="1664"/>
      <c r="P78" s="1664"/>
    </row>
    <row s="2984"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84"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1066</v>
      </c>
      <c r="N82" s="330"/>
    </row>
    <row customHeight="1" ht="18.75">
      <c r="A83" s="1821"/>
      <c r="B83" s="1821"/>
      <c r="D83" s="377"/>
      <c r="E83" s="133" t="s">
        <v>88</v>
      </c>
      <c r="F83" s="2303" t="s">
        <v>1067</v>
      </c>
      <c r="G83" s="2303"/>
      <c r="H83" s="2303"/>
      <c r="I83" s="2303"/>
      <c r="J83" s="2303"/>
      <c r="K83" s="2303"/>
      <c r="L83" s="2303"/>
      <c r="M83" s="285"/>
      <c r="N83" s="330"/>
    </row>
    <row s="2984"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4"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84" customFormat="1" customHeight="1" ht="0.75" hidden="1">
      <c r="A86" s="1821"/>
      <c r="B86" s="1821"/>
      <c r="C86" s="369" t="s">
        <v>1068</v>
      </c>
      <c r="D86" s="2311"/>
      <c r="E86" s="2056"/>
      <c r="F86" s="2220"/>
      <c r="G86" s="406"/>
      <c r="H86" s="1530"/>
      <c r="I86" s="657"/>
      <c r="J86" s="577"/>
      <c r="K86" s="1530"/>
      <c r="L86" s="200"/>
      <c r="M86" s="2016"/>
      <c r="N86" s="330"/>
      <c r="O86" s="1664"/>
      <c r="P86" s="1664"/>
    </row>
    <row s="2984"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84"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84" customFormat="1" customHeight="1" ht="0.75" hidden="1">
      <c r="A89" s="1821"/>
      <c r="B89" s="1821"/>
      <c r="C89" s="369" t="s">
        <v>1068</v>
      </c>
      <c r="D89" s="2311"/>
      <c r="E89" s="2056"/>
      <c r="F89" s="2220"/>
      <c r="G89" s="406"/>
      <c r="H89" s="1530"/>
      <c r="I89" s="657"/>
      <c r="J89" s="577"/>
      <c r="K89" s="1530"/>
      <c r="L89" s="200"/>
      <c r="M89" s="337"/>
      <c r="N89" s="330"/>
      <c r="O89" s="1664"/>
      <c r="P89" s="1664"/>
    </row>
    <row s="2984"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84"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84" customFormat="1" customHeight="1" ht="0.75" hidden="1">
      <c r="A92" s="1821"/>
      <c r="B92" s="1821"/>
      <c r="C92" s="369" t="s">
        <v>1068</v>
      </c>
      <c r="D92" s="2311"/>
      <c r="E92" s="2056"/>
      <c r="F92" s="2220"/>
      <c r="G92" s="406"/>
      <c r="H92" s="1530"/>
      <c r="I92" s="657"/>
      <c r="J92" s="577"/>
      <c r="K92" s="1530"/>
      <c r="L92" s="200"/>
      <c r="M92" s="337"/>
      <c r="N92" s="330"/>
      <c r="O92" s="1664"/>
      <c r="P92" s="1664"/>
    </row>
    <row s="2984"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84"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84" customFormat="1" customHeight="1" ht="0.75" hidden="1">
      <c r="A95" s="1821"/>
      <c r="B95" s="1821"/>
      <c r="C95" s="369" t="s">
        <v>1068</v>
      </c>
      <c r="D95" s="2311"/>
      <c r="E95" s="2056"/>
      <c r="F95" s="2220"/>
      <c r="G95" s="406"/>
      <c r="H95" s="1530"/>
      <c r="I95" s="657"/>
      <c r="J95" s="577"/>
      <c r="K95" s="1530"/>
      <c r="L95" s="200"/>
      <c r="M95" s="337"/>
      <c r="N95" s="330"/>
      <c r="O95" s="1664"/>
      <c r="P95" s="1664"/>
    </row>
    <row s="2984"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84"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84" customFormat="1" customHeight="1" ht="0.75" hidden="1">
      <c r="A98" s="1821"/>
      <c r="B98" s="1821"/>
      <c r="C98" s="369" t="s">
        <v>1068</v>
      </c>
      <c r="D98" s="2311"/>
      <c r="E98" s="2056"/>
      <c r="F98" s="2220"/>
      <c r="G98" s="406"/>
      <c r="H98" s="1530"/>
      <c r="I98" s="657"/>
      <c r="J98" s="577"/>
      <c r="K98" s="1530"/>
      <c r="L98" s="200"/>
      <c r="M98" s="337"/>
      <c r="N98" s="330"/>
      <c r="O98" s="1664"/>
      <c r="P98" s="1664"/>
    </row>
    <row s="2984"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84"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84"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84"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84"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84"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84"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296</v>
      </c>
      <c r="M105" s="337"/>
      <c r="N105" s="330"/>
      <c r="O105" s="1664"/>
      <c r="P105" s="1664"/>
    </row>
    <row s="2984"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84"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84" customFormat="1" customHeight="1" ht="18.75" hidden="1">
      <c r="A108" s="1821" t="s">
        <v>209</v>
      </c>
      <c r="B108" s="1821" t="s">
        <v>210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84"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84"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84" customFormat="1" customHeight="1" ht="18.75" hidden="1">
      <c r="A111" s="1821" t="s">
        <v>214</v>
      </c>
      <c r="B111" s="1821" t="s">
        <v>215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84"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84"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84" customFormat="1" customHeight="1" ht="18.75" hidden="1">
      <c r="A114" s="1821" t="s">
        <v>219</v>
      </c>
      <c r="B114" s="1821" t="s">
        <v>220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84"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84"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84" customFormat="1" customHeight="1" ht="18.75" hidden="1">
      <c r="A117" s="1821" t="s">
        <v>224</v>
      </c>
      <c r="B117" s="1821" t="s">
        <v>225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84"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84"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84" customFormat="1" customHeight="1" ht="18.75" hidden="1">
      <c r="A120" s="1821" t="s">
        <v>229</v>
      </c>
      <c r="B120" s="1821" t="s">
        <v>230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84"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84"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84" customFormat="1" customHeight="1" ht="18.75" hidden="1">
      <c r="A123" s="1821" t="s">
        <v>234</v>
      </c>
      <c r="B123" s="1821" t="s">
        <v>235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84"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84"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84" customFormat="1" customHeight="1" ht="18.75" hidden="1">
      <c r="A126" s="1821" t="s">
        <v>239</v>
      </c>
      <c r="B126" s="1821" t="s">
        <v>240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84"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84"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84" customFormat="1" customHeight="1" ht="18.75" hidden="1">
      <c r="A129" s="1821" t="s">
        <v>244</v>
      </c>
      <c r="B129" s="1821" t="s">
        <v>245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84"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84"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84" customFormat="1" customHeight="1" ht="18.75" hidden="1">
      <c r="A132" s="1821" t="s">
        <v>250</v>
      </c>
      <c r="B132" s="1821" t="s">
        <v>251</v>
      </c>
      <c r="C132" s="369"/>
      <c r="D132" s="2311"/>
      <c r="E132" s="2056"/>
      <c r="F132" s="2220" t="str">
        <f>INDEX(PT_DIFFERENTIATION_VTAR,MATCH(A132,PT_DIFFERENTIATION_VTAR_ID,0))</f>
        <v>Тариф на водоотведение</v>
      </c>
      <c r="G132" s="2266" t="str">
        <f>INDEX(PT_DIFFERENTIATION_NTAR,MATCH(B132,PT_DIFFERENTIATION_NTAR_ID,0))</f>
        <v>Тариф на водоотведение</v>
      </c>
      <c r="H132" s="1905"/>
      <c r="I132" s="1779"/>
      <c r="J132" s="1814"/>
      <c r="K132" s="1819"/>
      <c r="L132" s="1905" t="s">
        <v>296</v>
      </c>
      <c r="M132" s="337"/>
      <c r="N132" s="330"/>
      <c r="O132" s="1664"/>
      <c r="P132" s="1664"/>
    </row>
    <row s="2984"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84"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84" customFormat="1" customHeight="1" ht="18.75" hidden="1">
      <c r="A135" s="1821" t="s">
        <v>258</v>
      </c>
      <c r="B135" s="1821" t="s">
        <v>259</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84"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84"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84"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Подключение (технологическое присоединение) к централизованной системе водоотведения</v>
      </c>
      <c r="H138" s="1905"/>
      <c r="I138" s="1779"/>
      <c r="J138" s="1814"/>
      <c r="K138" s="1819"/>
      <c r="L138" s="1905" t="s">
        <v>296</v>
      </c>
      <c r="M138" s="337"/>
      <c r="N138" s="330"/>
      <c r="O138" s="1664"/>
      <c r="P138" s="1664"/>
    </row>
    <row s="2984"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84"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84"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84"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84"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84"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84"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84"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84"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84"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84"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84"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84"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84"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84"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84"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84"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84"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84"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84"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84"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84"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84"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84"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296</v>
      </c>
      <c r="M163" s="337"/>
      <c r="N163" s="330"/>
      <c r="O163" s="1664"/>
      <c r="P163" s="1664"/>
    </row>
    <row s="2984"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84"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84" customFormat="1" customHeight="1" ht="18.75" hidden="1">
      <c r="A166" s="1821" t="s">
        <v>209</v>
      </c>
      <c r="B166" s="1821" t="s">
        <v>210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84"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84"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84" customFormat="1" customHeight="1" ht="18.75" hidden="1">
      <c r="A169" s="1821" t="s">
        <v>214</v>
      </c>
      <c r="B169" s="1821" t="s">
        <v>215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84"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84"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84" customFormat="1" customHeight="1" ht="18.75" hidden="1">
      <c r="A172" s="1821" t="s">
        <v>219</v>
      </c>
      <c r="B172" s="1821" t="s">
        <v>220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84"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84"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84" customFormat="1" customHeight="1" ht="18.75" hidden="1">
      <c r="A175" s="1821" t="s">
        <v>224</v>
      </c>
      <c r="B175" s="1821" t="s">
        <v>225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84"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84"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84" customFormat="1" customHeight="1" ht="18.75" hidden="1">
      <c r="A178" s="1821" t="s">
        <v>229</v>
      </c>
      <c r="B178" s="1821" t="s">
        <v>230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84"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84"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84" customFormat="1" customHeight="1" ht="18.75" hidden="1">
      <c r="A181" s="1821" t="s">
        <v>234</v>
      </c>
      <c r="B181" s="1821" t="s">
        <v>235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84"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84"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84" customFormat="1" customHeight="1" ht="18.75" hidden="1">
      <c r="A184" s="1821" t="s">
        <v>239</v>
      </c>
      <c r="B184" s="1821" t="s">
        <v>240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84"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84"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84" customFormat="1" customHeight="1" ht="18.75" hidden="1">
      <c r="A187" s="1821" t="s">
        <v>244</v>
      </c>
      <c r="B187" s="1821" t="s">
        <v>245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84"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84"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84" customFormat="1" customHeight="1" ht="18.75" hidden="1">
      <c r="A190" s="1821" t="s">
        <v>250</v>
      </c>
      <c r="B190" s="1821" t="s">
        <v>251</v>
      </c>
      <c r="C190" s="369"/>
      <c r="D190" s="2311"/>
      <c r="E190" s="2056"/>
      <c r="F190" s="2220" t="str">
        <f>INDEX(PT_DIFFERENTIATION_VTAR,MATCH(A190,PT_DIFFERENTIATION_VTAR_ID,0))</f>
        <v>Тариф на водоотведение</v>
      </c>
      <c r="G190" s="2266" t="str">
        <f>INDEX(PT_DIFFERENTIATION_NTAR,MATCH(B190,PT_DIFFERENTIATION_NTAR_ID,0))</f>
        <v>Тариф на водоотведение</v>
      </c>
      <c r="H190" s="1905"/>
      <c r="I190" s="1779"/>
      <c r="J190" s="1814"/>
      <c r="K190" s="1819"/>
      <c r="L190" s="1905" t="s">
        <v>296</v>
      </c>
      <c r="M190" s="337"/>
      <c r="N190" s="330"/>
      <c r="O190" s="1664"/>
      <c r="P190" s="1664"/>
    </row>
    <row s="2984"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84"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84" customFormat="1" customHeight="1" ht="18.75" hidden="1">
      <c r="A193" s="1821" t="s">
        <v>258</v>
      </c>
      <c r="B193" s="1821" t="s">
        <v>259</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84"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84"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84"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Подключение (технологическое присоединение) к централизованной системе водоотведения</v>
      </c>
      <c r="H196" s="1905"/>
      <c r="I196" s="1779"/>
      <c r="J196" s="1814"/>
      <c r="K196" s="1819"/>
      <c r="L196" s="1905" t="s">
        <v>296</v>
      </c>
      <c r="M196" s="337"/>
      <c r="N196" s="330"/>
      <c r="O196" s="1664"/>
      <c r="P196" s="1664"/>
    </row>
    <row s="2984"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84"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84"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84"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84"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84"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84"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84"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84"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84"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84"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84"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84"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84"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84"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84"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84"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84"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84"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84"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84"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84"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84"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84"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296</v>
      </c>
      <c r="M221" s="337"/>
      <c r="N221" s="330"/>
      <c r="O221" s="1664"/>
      <c r="P221" s="1664"/>
    </row>
    <row s="2984"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84"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84" customFormat="1" customHeight="1" ht="18.75" hidden="1">
      <c r="A224" s="1821" t="s">
        <v>209</v>
      </c>
      <c r="B224" s="1821" t="s">
        <v>210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84"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84"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84" customFormat="1" customHeight="1" ht="18.75" hidden="1">
      <c r="A227" s="1821" t="s">
        <v>214</v>
      </c>
      <c r="B227" s="1821" t="s">
        <v>215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84"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84"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84" customFormat="1" customHeight="1" ht="18.75" hidden="1">
      <c r="A230" s="1821" t="s">
        <v>219</v>
      </c>
      <c r="B230" s="1821" t="s">
        <v>220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84"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84"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84" customFormat="1" customHeight="1" ht="18.75" hidden="1">
      <c r="A233" s="1821" t="s">
        <v>224</v>
      </c>
      <c r="B233" s="1821" t="s">
        <v>225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84"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84"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84" customFormat="1" customHeight="1" ht="18.75" hidden="1">
      <c r="A236" s="1821" t="s">
        <v>229</v>
      </c>
      <c r="B236" s="1821" t="s">
        <v>230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84"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84"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84" customFormat="1" customHeight="1" ht="18.75" hidden="1">
      <c r="A239" s="1821" t="s">
        <v>234</v>
      </c>
      <c r="B239" s="1821" t="s">
        <v>235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84"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84"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84" customFormat="1" customHeight="1" ht="18.75" hidden="1">
      <c r="A242" s="1821" t="s">
        <v>239</v>
      </c>
      <c r="B242" s="1821" t="s">
        <v>240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84"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84"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84" customFormat="1" customHeight="1" ht="18.75" hidden="1">
      <c r="A245" s="1821" t="s">
        <v>244</v>
      </c>
      <c r="B245" s="1821" t="s">
        <v>245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84"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84"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84" customFormat="1" customHeight="1" ht="18.75" hidden="1">
      <c r="A248" s="1821" t="s">
        <v>250</v>
      </c>
      <c r="B248" s="1821" t="s">
        <v>251</v>
      </c>
      <c r="C248" s="369"/>
      <c r="D248" s="2311"/>
      <c r="E248" s="2056"/>
      <c r="F248" s="2220" t="str">
        <f>INDEX(PT_DIFFERENTIATION_VTAR,MATCH(A248,PT_DIFFERENTIATION_VTAR_ID,0))</f>
        <v>Тариф на водоотведение</v>
      </c>
      <c r="G248" s="2266" t="str">
        <f>INDEX(PT_DIFFERENTIATION_NTAR,MATCH(B248,PT_DIFFERENTIATION_NTAR_ID,0))</f>
        <v>Тариф на водоотведение</v>
      </c>
      <c r="H248" s="1905"/>
      <c r="I248" s="1779"/>
      <c r="J248" s="1814"/>
      <c r="K248" s="1819"/>
      <c r="L248" s="1905" t="s">
        <v>296</v>
      </c>
      <c r="M248" s="337"/>
      <c r="N248" s="330"/>
      <c r="O248" s="1664"/>
      <c r="P248" s="1664"/>
    </row>
    <row s="2984"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84"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84" customFormat="1" customHeight="1" ht="18.75" hidden="1">
      <c r="A251" s="1821" t="s">
        <v>258</v>
      </c>
      <c r="B251" s="1821" t="s">
        <v>259</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84"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84"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84"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Подключение (технологическое присоединение) к централизованной системе водоотведения</v>
      </c>
      <c r="H254" s="1905"/>
      <c r="I254" s="1779"/>
      <c r="J254" s="1814"/>
      <c r="K254" s="1819"/>
      <c r="L254" s="1905" t="s">
        <v>296</v>
      </c>
      <c r="M254" s="337"/>
      <c r="N254" s="330"/>
      <c r="O254" s="1664"/>
      <c r="P254" s="1664"/>
    </row>
    <row s="2984"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84"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84"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4"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84"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84"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84"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84"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84"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84"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84"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84"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84"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84"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84"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84"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84"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84"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84"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84"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84"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84"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84"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84"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296</v>
      </c>
      <c r="M279" s="337"/>
      <c r="N279" s="330"/>
      <c r="O279" s="1664"/>
      <c r="P279" s="1664"/>
    </row>
    <row s="2984"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84"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84" customFormat="1" customHeight="1" ht="18.75" hidden="1">
      <c r="A282" s="1821" t="s">
        <v>209</v>
      </c>
      <c r="B282" s="1821" t="s">
        <v>210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84"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84"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84" customFormat="1" customHeight="1" ht="18.75" hidden="1">
      <c r="A285" s="1821" t="s">
        <v>214</v>
      </c>
      <c r="B285" s="1821" t="s">
        <v>215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84"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84"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84" customFormat="1" customHeight="1" ht="18.75" hidden="1">
      <c r="A288" s="1821" t="s">
        <v>219</v>
      </c>
      <c r="B288" s="1821" t="s">
        <v>220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84"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84"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84" customFormat="1" customHeight="1" ht="18.75" hidden="1">
      <c r="A291" s="1821" t="s">
        <v>224</v>
      </c>
      <c r="B291" s="1821" t="s">
        <v>225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84"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84"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84" customFormat="1" customHeight="1" ht="18.75" hidden="1">
      <c r="A294" s="1821" t="s">
        <v>229</v>
      </c>
      <c r="B294" s="1821" t="s">
        <v>230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84"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84"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84" customFormat="1" customHeight="1" ht="18.75" hidden="1">
      <c r="A297" s="1821" t="s">
        <v>234</v>
      </c>
      <c r="B297" s="1821" t="s">
        <v>235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84"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84"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84" customFormat="1" customHeight="1" ht="18.75" hidden="1">
      <c r="A300" s="1821" t="s">
        <v>239</v>
      </c>
      <c r="B300" s="1821" t="s">
        <v>240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84"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84"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84" customFormat="1" customHeight="1" ht="18.75" hidden="1">
      <c r="A303" s="1821" t="s">
        <v>244</v>
      </c>
      <c r="B303" s="1821" t="s">
        <v>245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84"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84"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84" customFormat="1" customHeight="1" ht="18.75" hidden="1">
      <c r="A306" s="1821" t="s">
        <v>250</v>
      </c>
      <c r="B306" s="1821" t="s">
        <v>251</v>
      </c>
      <c r="C306" s="369"/>
      <c r="D306" s="2311"/>
      <c r="E306" s="2056"/>
      <c r="F306" s="2220" t="str">
        <f>INDEX(PT_DIFFERENTIATION_VTAR,MATCH(A306,PT_DIFFERENTIATION_VTAR_ID,0))</f>
        <v>Тариф на водоотведение</v>
      </c>
      <c r="G306" s="2266" t="str">
        <f>INDEX(PT_DIFFERENTIATION_NTAR,MATCH(B306,PT_DIFFERENTIATION_NTAR_ID,0))</f>
        <v>Тариф на водоотведение</v>
      </c>
      <c r="H306" s="1905"/>
      <c r="I306" s="1779"/>
      <c r="J306" s="1814"/>
      <c r="K306" s="1819"/>
      <c r="L306" s="1905" t="s">
        <v>296</v>
      </c>
      <c r="M306" s="337"/>
      <c r="N306" s="330"/>
      <c r="O306" s="1664"/>
      <c r="P306" s="1664"/>
    </row>
    <row s="2984"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84"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84" customFormat="1" customHeight="1" ht="18.75" hidden="1">
      <c r="A309" s="1821" t="s">
        <v>258</v>
      </c>
      <c r="B309" s="1821" t="s">
        <v>259</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84"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84"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84"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Подключение (технологическое присоединение) к централизованной системе водоотведения</v>
      </c>
      <c r="H312" s="1905"/>
      <c r="I312" s="1779"/>
      <c r="J312" s="1814"/>
      <c r="K312" s="1819"/>
      <c r="L312" s="1905" t="s">
        <v>296</v>
      </c>
      <c r="M312" s="337"/>
      <c r="N312" s="330"/>
      <c r="O312" s="1664"/>
      <c r="P312" s="1664"/>
    </row>
    <row s="2984"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84" customFormat="1" customHeight="1" ht="0.75">
      <c r="A314" s="1821"/>
      <c r="B314" s="1821"/>
      <c r="C314" s="369" t="s">
        <v>1068</v>
      </c>
      <c r="D314" s="2311"/>
      <c r="E314" s="2056"/>
      <c r="F314" s="2220"/>
      <c r="G314" s="406"/>
      <c r="H314" s="1530"/>
      <c r="I314" s="657"/>
      <c r="J314" s="577"/>
      <c r="K314" s="1530"/>
      <c r="L314" s="200"/>
      <c r="M314" s="337"/>
      <c r="N314" s="330"/>
      <c r="O314" s="1664"/>
      <c r="P314" s="1664"/>
    </row>
    <row s="518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5DB4B-F6B9-FD24-680F-5040F31B681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232" width="9.140625" hidden="1" customWidth="1"/>
    <col min="2" max="2" style="5139" width="9.140625" hidden="1" customWidth="1"/>
    <col min="3" max="3" style="3406" width="3.7109375" customWidth="1"/>
    <col min="4" max="4" style="5219" width="6.28125" customWidth="1"/>
    <col min="5" max="5" style="5219" width="53.8515625" customWidth="1"/>
    <col min="6" max="7" style="5219" width="35.7109375" customWidth="1"/>
    <col min="8" max="8" style="5219" width="89.57421875" customWidth="1"/>
    <col min="9" max="9" style="5219" width="10.57421875"/>
    <col min="10" max="11" style="5142" width="10.57421875"/>
    <col min="12" max="17" style="5219" width="10.57421875"/>
  </cols>
  <sheetData>
    <row customHeight="1" ht="14.25" hidden="1">
      <c r="N1" s="241"/>
      <c r="O1" s="241"/>
      <c r="Q1" s="241"/>
    </row>
    <row s="2984" customFormat="1" customHeight="1" ht="18.75" hidden="1">
      <c r="A2" s="88"/>
      <c r="B2" s="1168"/>
      <c r="C2" s="1770" t="s">
        <v>505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84" customFormat="1" customHeight="1" ht="17.25">
      <c r="A6" s="1709"/>
      <c r="B6" s="1168"/>
      <c r="C6" s="377"/>
      <c r="D6" s="2299" t="str">
        <f>IF(org=0,"Не определено",org)</f>
        <v>МУП "Водоканал"</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86</v>
      </c>
      <c r="E9" s="94" t="s">
        <v>292</v>
      </c>
      <c r="F9" s="94" t="s">
        <v>293</v>
      </c>
      <c r="G9" s="94" t="s">
        <v>382</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1069</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1030</v>
      </c>
      <c r="F14" s="345"/>
      <c r="G14" s="187"/>
      <c r="H14" s="2017"/>
    </row>
    <row s="2984"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D5DE3-C99F-0086-79B1-98302A31760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86" width="9.140625" hidden="1" customWidth="1"/>
    <col min="2" max="2" style="3188" width="9.140625" hidden="1" customWidth="1"/>
    <col min="3" max="3" style="4917" width="4.7109375" customWidth="1"/>
    <col min="4" max="4" style="3188" width="6.28125" customWidth="1"/>
    <col min="5" max="5" style="3188" width="47.8515625" customWidth="1"/>
    <col min="6" max="6" style="3188" width="9.57421875" customWidth="1"/>
    <col min="7" max="7" style="2624" width="25.7109375" hidden="1" customWidth="1"/>
    <col min="8" max="8" style="2624" width="34.00390625" hidden="1" customWidth="1"/>
    <col min="9" max="9" style="3188" width="25.7109375" customWidth="1"/>
    <col min="10" max="10" style="3188" width="34.00390625" customWidth="1"/>
    <col min="11" max="11" style="2625" width="50.8515625" customWidth="1"/>
    <col min="12" max="20" style="3188" width="10.57421875"/>
    <col min="21" max="21" style="4851"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МУП "Водоканал"</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291</v>
      </c>
    </row>
    <row s="2624" customFormat="1" customHeight="1" ht="15">
      <c r="A10" s="765"/>
      <c r="C10" s="162"/>
      <c r="D10" s="717"/>
      <c r="E10" s="2213" t="s">
        <v>557</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290</v>
      </c>
      <c r="E12" s="2216"/>
      <c r="F12" s="2216"/>
      <c r="G12" s="893"/>
      <c r="H12" s="893"/>
      <c r="I12" s="893"/>
      <c r="J12" s="893"/>
      <c r="K12" s="2036"/>
      <c r="U12" s="681"/>
    </row>
    <row customHeight="1" ht="33.75">
      <c r="C13" s="162"/>
      <c r="D13" s="811" t="s">
        <v>86</v>
      </c>
      <c r="E13" s="813" t="s">
        <v>292</v>
      </c>
      <c r="F13" s="813" t="s">
        <v>559</v>
      </c>
      <c r="G13" s="814" t="s">
        <v>293</v>
      </c>
      <c r="H13" s="813" t="s">
        <v>382</v>
      </c>
      <c r="I13" s="814" t="s">
        <v>293</v>
      </c>
      <c r="J13" s="813" t="s">
        <v>382</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716</v>
      </c>
      <c r="F15" s="527" t="s">
        <v>717</v>
      </c>
      <c r="G15" s="684"/>
      <c r="H15" s="684"/>
      <c r="I15" s="684"/>
      <c r="J15" s="684"/>
      <c r="K15" s="277" t="s">
        <v>718</v>
      </c>
    </row>
    <row customHeight="1" ht="22.5" hidden="1">
      <c r="A16" s="511"/>
      <c r="C16" s="532"/>
      <c r="D16" s="527">
        <v>2</v>
      </c>
      <c r="E16" s="267" t="s">
        <v>719</v>
      </c>
      <c r="F16" s="527" t="s">
        <v>720</v>
      </c>
      <c r="G16" s="684"/>
      <c r="H16" s="684"/>
      <c r="I16" s="684"/>
      <c r="J16" s="684"/>
      <c r="K16" s="277" t="s">
        <v>721</v>
      </c>
    </row>
    <row customHeight="1" ht="123.75" hidden="1">
      <c r="A17" s="511"/>
      <c r="C17" s="532"/>
      <c r="D17" s="527">
        <v>3</v>
      </c>
      <c r="E17" s="267" t="s">
        <v>1071</v>
      </c>
      <c r="F17" s="527" t="s">
        <v>296</v>
      </c>
      <c r="G17" s="684"/>
      <c r="H17" s="684"/>
      <c r="I17" s="684"/>
      <c r="J17" s="684"/>
      <c r="K17" s="277" t="s">
        <v>1072</v>
      </c>
    </row>
    <row customHeight="1" ht="45">
      <c r="A18" s="511"/>
      <c r="C18" s="532"/>
      <c r="D18" s="527">
        <v>4</v>
      </c>
      <c r="E18" s="267" t="s">
        <v>722</v>
      </c>
      <c r="F18" s="527" t="s">
        <v>296</v>
      </c>
      <c r="G18" s="815" t="s">
        <v>296</v>
      </c>
      <c r="H18" s="816" t="s">
        <v>296</v>
      </c>
      <c r="I18" s="527" t="s">
        <v>296</v>
      </c>
      <c r="J18" s="584" t="s">
        <v>296</v>
      </c>
      <c r="K18" s="277" t="s">
        <v>1073</v>
      </c>
    </row>
    <row customHeight="1" ht="33.75">
      <c r="A19" s="511"/>
      <c r="C19" s="532"/>
      <c r="D19" s="545" t="s">
        <v>660</v>
      </c>
      <c r="E19" s="565" t="s">
        <v>724</v>
      </c>
      <c r="F19" s="527" t="s">
        <v>725</v>
      </c>
      <c r="G19" s="823"/>
      <c r="H19" s="92"/>
      <c r="I19" s="823"/>
      <c r="J19" s="824"/>
      <c r="K19" s="685"/>
    </row>
    <row customHeight="1" ht="33.75">
      <c r="A20" s="511"/>
      <c r="C20" s="532"/>
      <c r="D20" s="545" t="s">
        <v>703</v>
      </c>
      <c r="E20" s="565" t="s">
        <v>726</v>
      </c>
      <c r="F20" s="527" t="s">
        <v>727</v>
      </c>
      <c r="G20" s="823"/>
      <c r="H20" s="92"/>
      <c r="I20" s="823"/>
      <c r="J20" s="92"/>
      <c r="K20" s="685"/>
    </row>
    <row customHeight="1" ht="45">
      <c r="A21" s="511"/>
      <c r="C21" s="532"/>
      <c r="D21" s="545" t="s">
        <v>706</v>
      </c>
      <c r="E21" s="565" t="s">
        <v>728</v>
      </c>
      <c r="F21" s="527" t="s">
        <v>564</v>
      </c>
      <c r="G21" s="686"/>
      <c r="H21" s="92"/>
      <c r="I21" s="686"/>
      <c r="J21" s="92"/>
      <c r="K21" s="685"/>
    </row>
    <row customHeight="1" ht="67.5" hidden="1">
      <c r="A22" s="511"/>
      <c r="C22" s="532"/>
      <c r="D22" s="527">
        <v>5</v>
      </c>
      <c r="E22" s="267" t="s">
        <v>1074</v>
      </c>
      <c r="F22" s="527" t="s">
        <v>551</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5591F-106B-FC3C-48AC-FA4FEFF2C00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246" width="9.140625" hidden="1"/>
    <col min="2" max="2" style="5247" width="9.140625" hidden="1"/>
    <col min="3" max="3" style="5248" width="3.7109375" customWidth="1"/>
    <col min="4" max="4" style="5260" width="7.00390625" customWidth="1"/>
    <col min="5" max="5" style="5260" width="23.140625" customWidth="1"/>
    <col min="6" max="6" style="5260" width="16.00390625" customWidth="1"/>
    <col min="7" max="7" style="5260" width="14.8515625" customWidth="1"/>
    <col min="8" max="8" style="5260" width="47.8515625" customWidth="1"/>
    <col min="9" max="9" style="5260" width="115.7109375" customWidth="1"/>
    <col min="10" max="10" style="5260" width="3.7109375" customWidth="1"/>
    <col min="11" max="12" style="5260" width="9.140625"/>
  </cols>
  <sheetData>
    <row customHeight="1" ht="14.25" hidden="1"/>
    <row customHeight="1" ht="14.25" hidden="1"/>
    <row customHeight="1" ht="14.25" hidden="1"/>
    <row customHeight="1" ht="3"/>
    <row s="2688" customFormat="1" customHeight="1" ht="30">
      <c r="A5" s="101"/>
      <c r="C5" s="75"/>
      <c r="D5" s="1954" t="s">
        <v>1079</v>
      </c>
      <c r="E5" s="1954"/>
      <c r="F5" s="1954"/>
      <c r="G5" s="1954"/>
      <c r="H5" s="1954"/>
      <c r="I5" s="251"/>
    </row>
    <row customHeight="1" ht="3" hidden="1">
      <c r="D6" s="108"/>
      <c r="E6" s="108"/>
      <c r="F6" s="108"/>
      <c r="G6" s="108"/>
      <c r="H6" s="108"/>
      <c r="I6" s="108"/>
    </row>
    <row s="5246"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86</v>
      </c>
      <c r="E9" s="2062" t="s">
        <v>1080</v>
      </c>
      <c r="F9" s="2062"/>
      <c r="G9" s="2062"/>
      <c r="H9" s="2062"/>
      <c r="I9" s="2062"/>
    </row>
    <row customHeight="1" ht="22.5">
      <c r="D10" s="2062"/>
      <c r="E10" s="113" t="s">
        <v>1081</v>
      </c>
      <c r="F10" s="113" t="s">
        <v>1082</v>
      </c>
      <c r="G10" s="113" t="s">
        <v>1083</v>
      </c>
      <c r="H10" s="113" t="s">
        <v>382</v>
      </c>
      <c r="I10" s="2062"/>
    </row>
    <row customHeight="1" ht="12" hidden="1">
      <c r="D11" s="72" t="s">
        <v>107</v>
      </c>
      <c r="E11" s="72" t="s">
        <v>89</v>
      </c>
      <c r="F11" s="72" t="s">
        <v>109</v>
      </c>
      <c r="G11" s="72" t="s">
        <v>90</v>
      </c>
      <c r="H11" s="72" t="s">
        <v>91</v>
      </c>
      <c r="I11" s="72" t="s">
        <v>110</v>
      </c>
    </row>
    <row s="5252" customFormat="1" customHeight="1" ht="24.75">
      <c r="A12" s="131" t="s">
        <v>88</v>
      </c>
      <c r="B12" s="111" t="s">
        <v>24</v>
      </c>
      <c r="C12" s="112"/>
      <c r="D12" s="114" t="s">
        <v>107</v>
      </c>
      <c r="E12" s="387"/>
      <c r="F12" s="387"/>
      <c r="G12" s="1774" t="s">
        <v>24</v>
      </c>
      <c r="H12" s="388"/>
      <c r="I12" s="2015" t="s">
        <v>1084</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0FFC2-AE87-5FFE-9276-D2413715961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5280" width="9.140625" hidden="1"/>
    <col min="3" max="3" style="5281" width="3.7109375" customWidth="1"/>
    <col min="4" max="4" style="5280" width="6.28125" customWidth="1"/>
    <col min="5" max="5" style="5280" width="94.8515625" customWidth="1"/>
    <col min="6" max="9" style="528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86</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7" t="s">
        <v>1089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6F0CE-09EB-A3CA-A25B-2F9392320EDE}" mc:Ignorable="x14ac xr xr2 xr3">
  <dimension ref="A1:I24"/>
  <sheetViews>
    <sheetView topLeftCell="A1" showGridLines="0" zoomScale="90" workbookViewId="0">
      <selection activeCell="A1" sqref="A1"/>
    </sheetView>
  </sheetViews>
  <sheetFormatPr defaultColWidth="9.140625" customHeight="1" defaultRowHeight="11.25"/>
  <cols>
    <col min="1" max="2" style="3044" width="15.00390625" hidden="1" customWidth="1"/>
    <col min="3" max="3" style="3122" width="3.7109375" customWidth="1"/>
    <col min="4" max="4" style="3123" width="6.8515625" customWidth="1"/>
    <col min="5" max="5" style="3122" width="52.28125" customWidth="1"/>
    <col min="6" max="6" style="3122" width="48.8515625" customWidth="1"/>
    <col min="7" max="7" style="3122" width="93.421875" customWidth="1"/>
    <col min="8" max="8" style="3122" width="9.140625"/>
    <col min="9" max="9" style="3122"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Республика Марий Эл</v>
      </c>
      <c r="E6" s="2053"/>
      <c r="F6" s="2053"/>
      <c r="I6" s="721"/>
    </row>
    <row s="3043"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86</v>
      </c>
      <c r="E10" s="1506" t="s">
        <v>292</v>
      </c>
      <c r="F10" s="1506" t="s">
        <v>293</v>
      </c>
      <c r="G10" s="2062"/>
    </row>
    <row customHeight="1" ht="0.75">
      <c r="A11" s="508"/>
      <c r="B11" s="508"/>
      <c r="C11" s="463"/>
      <c r="D11" s="470"/>
      <c r="E11" s="470"/>
      <c r="F11" s="470"/>
      <c r="G11" s="470"/>
    </row>
    <row customHeight="1" ht="22.5">
      <c r="A12" s="508"/>
      <c r="B12" s="508"/>
      <c r="C12" s="463"/>
      <c r="D12" s="1550">
        <v>1</v>
      </c>
      <c r="E12" s="480" t="s">
        <v>1090</v>
      </c>
      <c r="F12" s="1902" t="str">
        <f>IF(org="","",org)</f>
        <v>МУП "Водоканал"</v>
      </c>
      <c r="G12" s="480" t="s">
        <v>1091</v>
      </c>
      <c r="H12" s="1563"/>
    </row>
    <row customHeight="1" ht="18.75">
      <c r="A13" s="508"/>
      <c r="B13" s="508"/>
      <c r="C13" s="463"/>
      <c r="D13" s="1550">
        <v>2</v>
      </c>
      <c r="E13" s="1557" t="s">
        <v>1092</v>
      </c>
      <c r="F13" s="1551" t="s">
        <v>296</v>
      </c>
      <c r="G13" s="480"/>
      <c r="H13" s="1563"/>
    </row>
    <row customHeight="1" ht="18.75">
      <c r="A14" s="508"/>
      <c r="B14" s="508"/>
      <c r="C14" s="463"/>
      <c r="D14" s="1553" t="s">
        <v>615</v>
      </c>
      <c r="E14" s="1554" t="s">
        <v>1093</v>
      </c>
      <c r="F14" s="1556"/>
      <c r="G14" s="1555" t="s">
        <v>1094</v>
      </c>
      <c r="H14" s="1563"/>
    </row>
    <row customHeight="1" ht="18.75">
      <c r="A15" s="508"/>
      <c r="B15" s="508"/>
      <c r="C15" s="463"/>
      <c r="D15" s="1553" t="s">
        <v>297</v>
      </c>
      <c r="E15" s="1554" t="s">
        <v>1095</v>
      </c>
      <c r="F15" s="1556"/>
      <c r="G15" s="1555" t="s">
        <v>1096</v>
      </c>
      <c r="H15" s="1563"/>
    </row>
    <row customHeight="1" ht="36.75">
      <c r="A16" s="508"/>
      <c r="B16" s="508"/>
      <c r="C16" s="463"/>
      <c r="D16" s="1553" t="s">
        <v>300</v>
      </c>
      <c r="E16" s="1552" t="s">
        <v>1097</v>
      </c>
      <c r="F16" s="1561"/>
      <c r="G16" s="480" t="s">
        <v>1098</v>
      </c>
      <c r="H16" s="1563"/>
    </row>
    <row customHeight="1" ht="45">
      <c r="A17" s="508"/>
      <c r="B17" s="508"/>
      <c r="C17" s="463"/>
      <c r="D17" s="1550">
        <v>3</v>
      </c>
      <c r="E17" s="1557" t="s">
        <v>1099</v>
      </c>
      <c r="F17" s="1556"/>
      <c r="G17" s="480" t="s">
        <v>1100</v>
      </c>
      <c r="H17" s="1563"/>
    </row>
    <row customHeight="1" ht="45">
      <c r="A18" s="1505">
        <v>1</v>
      </c>
      <c r="B18" s="508"/>
      <c r="C18" s="1507"/>
      <c r="D18" s="1550" t="s">
        <v>89</v>
      </c>
      <c r="E18" s="1557" t="s">
        <v>1101</v>
      </c>
      <c r="F18" s="1556"/>
      <c r="G18" s="480" t="s">
        <v>1100</v>
      </c>
      <c r="H18" s="1563"/>
      <c r="I18" s="858"/>
    </row>
    <row customHeight="1" ht="22.5">
      <c r="A19" s="508"/>
      <c r="B19" s="508"/>
      <c r="C19" s="463"/>
      <c r="D19" s="1550" t="s">
        <v>109</v>
      </c>
      <c r="E19" s="1557" t="s">
        <v>1102</v>
      </c>
      <c r="F19" s="1551" t="s">
        <v>296</v>
      </c>
      <c r="G19" s="2318" t="s">
        <v>1103</v>
      </c>
      <c r="H19" s="481"/>
    </row>
    <row s="5299" customFormat="1" customHeight="1" ht="5.25" hidden="1">
      <c r="A20" s="508"/>
      <c r="B20" s="508"/>
      <c r="C20" s="1559"/>
      <c r="D20" s="1558" t="s">
        <v>1023</v>
      </c>
      <c r="E20" s="1021"/>
      <c r="F20" s="1020"/>
      <c r="G20" s="2319"/>
    </row>
    <row customHeight="1" ht="15">
      <c r="A21" s="508"/>
      <c r="B21" s="508"/>
      <c r="C21" s="463"/>
      <c r="D21" s="473"/>
      <c r="E21" s="421" t="s">
        <v>331</v>
      </c>
      <c r="F21" s="475"/>
      <c r="G21" s="2320"/>
      <c r="H21" s="1563"/>
    </row>
    <row s="3044" customFormat="1" customHeight="1" ht="24.75">
      <c r="A22" s="508"/>
      <c r="B22" s="508"/>
      <c r="C22" s="508"/>
      <c r="D22" s="1550" t="s">
        <v>90</v>
      </c>
      <c r="E22" s="480" t="s">
        <v>1104</v>
      </c>
      <c r="F22" s="1556"/>
      <c r="G22" s="480" t="s">
        <v>1105</v>
      </c>
      <c r="H22" s="1562"/>
    </row>
    <row s="3044" customFormat="1" customHeight="1" ht="18.75">
      <c r="A23" s="508"/>
      <c r="B23" s="508"/>
      <c r="C23" s="508"/>
      <c r="D23" s="1550" t="s">
        <v>91</v>
      </c>
      <c r="E23" s="1557" t="s">
        <v>1106</v>
      </c>
      <c r="F23" s="1561"/>
      <c r="G23" s="480" t="s">
        <v>1107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253F6-FDE5-2C95-856E-B28C9D5A36CB}" mc:Ignorable="x14ac xr xr2 xr3">
  <dimension ref="A1:IT23"/>
  <sheetViews>
    <sheetView topLeftCell="A1" showGridLines="0" zoomScale="90" workbookViewId="0">
      <selection activeCell="A1" sqref="A1"/>
    </sheetView>
  </sheetViews>
  <sheetFormatPr defaultColWidth="9.140625" customHeight="1" defaultRowHeight="14.25"/>
  <cols>
    <col min="1" max="1" style="2975" width="9.140625" hidden="1"/>
    <col min="2" max="2" style="3327" width="9.140625" hidden="1"/>
    <col min="3" max="3" style="2975" width="3.7109375" hidden="1" customWidth="1"/>
    <col min="4" max="4" style="3187" width="3.8515625" customWidth="1"/>
    <col min="5" max="5" style="2975" width="6.28125" customWidth="1"/>
    <col min="6" max="6" style="2975" width="46.7109375" customWidth="1"/>
    <col min="7" max="8" style="2975" width="16.7109375" customWidth="1"/>
    <col min="9" max="9" style="2975" width="35.28125" customWidth="1"/>
    <col min="10" max="10" style="2975"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75"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7" customFormat="1" customHeight="1" ht="20.25">
      <c r="A8" s="1163"/>
      <c r="B8" s="1168"/>
      <c r="C8" s="1163"/>
      <c r="D8" s="1525"/>
      <c r="E8" s="1585" t="s">
        <v>86</v>
      </c>
      <c r="F8" s="1570" t="s">
        <v>1108</v>
      </c>
      <c r="G8" s="1570" t="s">
        <v>47</v>
      </c>
      <c r="H8" s="1570" t="s">
        <v>49</v>
      </c>
      <c r="I8" s="1570" t="s">
        <v>1109</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9162A-9821-028A-2A53-151745023EEE}" mc:Ignorable="x14ac xr xr2 xr3">
  <dimension ref="A1:IV14"/>
  <sheetViews>
    <sheetView topLeftCell="A1" showGridLines="0" zoomScale="90" workbookViewId="0">
      <selection activeCell="A1" sqref="A1"/>
    </sheetView>
  </sheetViews>
  <sheetFormatPr defaultColWidth="9.140625" customHeight="1" defaultRowHeight="14.25"/>
  <cols>
    <col min="1" max="1" style="2975" width="9.140625" hidden="1"/>
    <col min="2" max="2" style="3327" width="9.140625" hidden="1"/>
    <col min="3" max="3" style="2975" width="3.7109375" hidden="1" customWidth="1"/>
    <col min="4" max="4" style="3187" width="3.8515625" customWidth="1"/>
    <col min="5" max="5" style="2975" width="6.28125" customWidth="1"/>
    <col min="6" max="6" style="2975" width="27.28125" customWidth="1"/>
    <col min="7" max="7" style="2975" width="16.7109375" customWidth="1"/>
    <col min="8" max="8" style="2975" width="12.7109375" customWidth="1"/>
    <col min="9" max="9" style="2975" width="32.140625" customWidth="1"/>
    <col min="10" max="11" style="2975" width="41.8515625" customWidth="1"/>
    <col min="12" max="12" style="2975"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75" width="9.140625"/>
  </cols>
  <sheetData>
    <row customHeight="1" ht="14.25" hidden="1"/>
    <row s="2666" customFormat="1" customHeight="1" ht="22.5" hidden="1">
      <c r="A2" s="837"/>
      <c r="B2" s="1168">
        <v>1</v>
      </c>
      <c r="C2" s="1168"/>
      <c r="D2" s="807"/>
      <c r="E2" s="1514"/>
      <c r="F2" s="1569" t="str">
        <f>IF(ROIV_INFO_NAME="","",ROIV_INFO_NAME)</f>
        <v>МУП "Водоканал"</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7" customFormat="1" customHeight="1" ht="47.25">
      <c r="A8" s="1163"/>
      <c r="B8" s="1168"/>
      <c r="C8" s="1163"/>
      <c r="D8" s="1525"/>
      <c r="E8" s="2326" t="s">
        <v>86</v>
      </c>
      <c r="F8" s="2326" t="s">
        <v>1090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1112</v>
      </c>
      <c r="H9" s="1567" t="s">
        <v>1113</v>
      </c>
      <c r="I9" s="1567" t="s">
        <v>1114</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МУП "Водоканал"</v>
      </c>
      <c r="G10" s="1772" t="s">
        <v>24</v>
      </c>
      <c r="H10" s="1564"/>
      <c r="I10" s="1564"/>
      <c r="J10" s="1172"/>
      <c r="K10" s="1172"/>
      <c r="L10" s="2323" t="s">
        <v>1115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D8A08-DEF4-1D7B-A107-FF6769DCF8CE}" mc:Ignorable="x14ac xr xr2 xr3">
  <dimension ref="A1:IY16"/>
  <sheetViews>
    <sheetView topLeftCell="A1" showGridLines="0" zoomScale="90" workbookViewId="0">
      <selection activeCell="A1" sqref="A1"/>
    </sheetView>
  </sheetViews>
  <sheetFormatPr defaultColWidth="9.140625" customHeight="1" defaultRowHeight="14.25"/>
  <cols>
    <col min="1" max="1" style="2975" width="9.140625" hidden="1"/>
    <col min="2" max="2" style="3327" width="9.140625" hidden="1"/>
    <col min="3" max="3" style="2975" width="3.7109375" hidden="1" customWidth="1"/>
    <col min="4" max="4" style="3187" width="3.8515625" customWidth="1"/>
    <col min="5" max="5" style="2975" width="10.140625" customWidth="1"/>
    <col min="6" max="6" style="2975" width="6.28125" customWidth="1"/>
    <col min="7" max="7" style="2975" width="27.28125" customWidth="1"/>
    <col min="8" max="8" style="2975" width="29.28125" customWidth="1"/>
    <col min="9" max="9" style="2975" width="25.421875" customWidth="1"/>
    <col min="10" max="10" style="2975" width="5.57421875" customWidth="1"/>
    <col min="11" max="11" style="2975" width="6.57421875" customWidth="1"/>
    <col min="12" max="12" style="2975" width="41.8515625" customWidth="1"/>
    <col min="13" max="13" style="2975" width="42.421875" customWidth="1"/>
    <col min="14" max="14" style="2975" width="41.57421875" customWidth="1"/>
    <col min="15" max="15" style="2975"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75" width="9.140625"/>
  </cols>
  <sheetData>
    <row customHeight="1" ht="14.25" hidden="1"/>
    <row s="2666" customFormat="1" customHeight="1" ht="22.5" hidden="1">
      <c r="A2" s="502"/>
      <c r="B2" s="1168">
        <v>1</v>
      </c>
      <c r="C2" s="1168"/>
      <c r="D2" s="807"/>
      <c r="E2" s="1971"/>
      <c r="F2" s="1971">
        <v>1</v>
      </c>
      <c r="G2" s="2331" t="str">
        <f>IF(region_name="","",region_name)</f>
        <v>Республика Марий Эл</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1118</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340" customFormat="1" customHeight="1" ht="42.75">
      <c r="A8" s="1498"/>
      <c r="B8" s="1508"/>
      <c r="C8" s="1498"/>
      <c r="D8" s="1525"/>
      <c r="E8" s="1588" t="s">
        <v>291</v>
      </c>
      <c r="F8" s="1588"/>
      <c r="G8" s="1589" t="s">
        <v>295</v>
      </c>
      <c r="H8" s="1589" t="s">
        <v>1119</v>
      </c>
      <c r="I8" s="1589" t="s">
        <v>299</v>
      </c>
      <c r="J8" s="2338"/>
      <c r="K8" s="2339"/>
      <c r="L8" s="2340"/>
      <c r="M8" s="1589" t="s">
        <v>1120</v>
      </c>
      <c r="N8" s="1589" t="s">
        <v>1121</v>
      </c>
      <c r="O8" s="1589" t="s">
        <v>1122</v>
      </c>
      <c r="P8" s="1580"/>
      <c r="Q8" s="1580"/>
      <c r="R8" s="1580"/>
      <c r="S8" s="1580"/>
      <c r="T8" s="1581"/>
      <c r="U8" s="1580"/>
      <c r="V8" s="1582"/>
      <c r="W8" s="1582"/>
      <c r="X8" s="1582"/>
      <c r="Y8" s="1582"/>
    </row>
    <row s="2657" customFormat="1" customHeight="1" ht="47.25">
      <c r="A9" s="1163"/>
      <c r="B9" s="1168"/>
      <c r="C9" s="1163"/>
      <c r="D9" s="1525"/>
      <c r="E9" s="2090" t="s">
        <v>290</v>
      </c>
      <c r="F9" s="2327" t="s">
        <v>86</v>
      </c>
      <c r="G9" s="2327" t="s">
        <v>294</v>
      </c>
      <c r="H9" s="2327" t="s">
        <v>1123</v>
      </c>
      <c r="I9" s="2327"/>
      <c r="J9" s="2327" t="s">
        <v>1124</v>
      </c>
      <c r="K9" s="2327"/>
      <c r="L9" s="2327"/>
      <c r="M9" s="2327" t="s">
        <v>1125</v>
      </c>
      <c r="N9" s="2327" t="s">
        <v>1126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1127</v>
      </c>
      <c r="I10" s="158" t="s">
        <v>298</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Республика Марий Эл</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C6196-3BE5-0D52-3762-D136A109DBA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5280" width="9.140625" hidden="1"/>
    <col min="3" max="3" style="5281" width="3.7109375" customWidth="1"/>
    <col min="4" max="4" style="5280" width="6.28125" customWidth="1"/>
    <col min="5" max="5" style="5280" width="94.8515625" customWidth="1"/>
    <col min="6" max="12" style="528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1128</v>
      </c>
      <c r="E7" s="1954"/>
      <c r="F7" s="253"/>
    </row>
    <row customHeight="1" ht="3">
      <c r="C8" s="77"/>
      <c r="D8" s="55"/>
      <c r="E8" s="55"/>
    </row>
    <row customHeight="1" ht="15.75">
      <c r="C9" s="77"/>
      <c r="D9" s="91" t="s">
        <v>86</v>
      </c>
      <c r="E9" s="94" t="s">
        <v>277</v>
      </c>
    </row>
    <row customHeight="1" ht="12">
      <c r="C10" s="77"/>
      <c r="D10" s="72" t="s">
        <v>107</v>
      </c>
      <c r="E10" s="72" t="s">
        <v>108</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A4B75-A728-E038-BE31-289E70FC226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365" width="1.7109375" customWidth="1"/>
    <col min="2" max="2" style="5365" width="34.57421875" customWidth="1"/>
    <col min="3" max="3" style="5365" width="85.57421875" customWidth="1"/>
    <col min="4" max="4" style="5365" width="17.7109375" customWidth="1"/>
    <col min="5" max="5" style="5365" width="9.140625"/>
  </cols>
  <sheetData>
    <row customHeight="1" ht="3"/>
    <row customHeight="1" ht="22.5">
      <c r="B2" s="2343" t="s">
        <v>1129</v>
      </c>
      <c r="C2" s="2343"/>
      <c r="D2" s="2343"/>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57052-15F5-6D4A-EC5F-3B073F53B90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365" width="26.57421875" customWidth="1"/>
    <col min="2" max="2" style="5365" width="10.00390625" customWidth="1"/>
    <col min="3" max="3" style="5365" width="9.140625"/>
    <col min="4" max="4" style="5365" width="11.140625" customWidth="1"/>
    <col min="5" max="5" style="5365" width="16.57421875" customWidth="1"/>
    <col min="6" max="6" style="5365" width="16.28125" customWidth="1"/>
    <col min="7" max="7" style="5365" width="19.140625" customWidth="1"/>
    <col min="8" max="11" style="5365" width="10.00390625" customWidth="1"/>
    <col min="12" max="12" style="5365" width="12.7109375" customWidth="1"/>
    <col min="13" max="13" style="5365" width="61.28125" customWidth="1"/>
    <col min="14" max="14" style="5365" width="10.00390625" customWidth="1"/>
    <col min="15" max="17" style="5365" width="23.7109375" customWidth="1"/>
    <col min="18" max="18" style="5365" width="11.7109375" customWidth="1"/>
    <col min="19" max="19" style="5365" width="8.57421875" customWidth="1"/>
    <col min="20" max="20" style="5365" width="11.7109375" customWidth="1"/>
    <col min="21" max="21" style="5365" width="8.57421875" customWidth="1"/>
    <col min="22" max="22" style="5365" width="4.7109375" customWidth="1"/>
    <col min="23" max="23" style="5365" width="115.7109375" customWidth="1"/>
    <col min="24" max="24" style="5365" width="115.28125" customWidth="1"/>
    <col min="25" max="27" style="5365" width="9.140625"/>
    <col min="28" max="28" style="5365" width="115.7109375" customWidth="1"/>
    <col min="29" max="29" style="5365" width="9.140625"/>
    <col min="30" max="90" style="5365" width="115.7109375" customWidth="1"/>
    <col min="91" max="184" style="5365" width="9.140625"/>
  </cols>
  <sheetData>
    <row r="2" s="5366" customFormat="1" customHeight="1" ht="17.25">
      <c r="A2" s="1856" t="s">
        <v>1133</v>
      </c>
    </row>
    <row r="4" s="5280" customFormat="1" customHeight="1" ht="15">
      <c r="C4" s="1857"/>
      <c r="D4" s="99"/>
      <c r="E4" s="380"/>
    </row>
    <row r="6" s="5366" customFormat="1" customHeight="1" ht="17.25">
      <c r="A6" s="1856" t="s">
        <v>1134</v>
      </c>
    </row>
    <row r="8" s="5280" customFormat="1" customHeight="1" ht="17.25">
      <c r="C8" s="1858"/>
      <c r="D8" s="99"/>
      <c r="E8" s="100"/>
    </row>
    <row r="11" s="5366" customFormat="1" customHeight="1" ht="17.25">
      <c r="A11" s="1856" t="s">
        <v>1135</v>
      </c>
    </row>
    <row r="13" s="5370" customFormat="1" customHeight="1" ht="15">
      <c r="A13" s="2082">
        <v>1</v>
      </c>
      <c r="B13" s="1168"/>
      <c r="C13" s="807" t="s">
        <v>505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366" customFormat="1" customHeight="1" ht="17.25">
      <c r="A17" s="1856" t="s">
        <v>1136</v>
      </c>
    </row>
    <row r="19" s="4744" customFormat="1" customHeight="1" ht="15">
      <c r="A19" s="1925"/>
      <c r="B19" s="1396">
        <v>1</v>
      </c>
      <c r="C19" s="1396"/>
      <c r="D19" s="806" t="s">
        <v>505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5382" customFormat="1" customHeight="1" ht="15">
      <c r="A23" s="429"/>
      <c r="B23" s="429"/>
      <c r="C23" s="1768" t="s">
        <v>505</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5382"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382"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5382" customFormat="1" customHeight="1" ht="15">
      <c r="A29" s="429"/>
      <c r="B29" s="429"/>
      <c r="C29" s="162"/>
      <c r="D29" s="1862"/>
      <c r="E29" s="1862"/>
      <c r="F29" s="1862"/>
      <c r="G29" s="2398" t="s">
        <v>505</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5382"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5382" customFormat="1" customHeight="1" ht="15">
      <c r="A34" s="429"/>
      <c r="B34" s="429"/>
      <c r="C34" s="162"/>
      <c r="D34" s="1862"/>
      <c r="E34" s="1862"/>
      <c r="F34" s="1862"/>
      <c r="G34" s="1862"/>
      <c r="H34" s="1862"/>
      <c r="I34" s="1862"/>
      <c r="J34" s="1862"/>
      <c r="K34" s="1840" t="s">
        <v>505</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5366" customFormat="1" customHeight="1" ht="11.25">
      <c r="A37" s="1856" t="s">
        <v>1140</v>
      </c>
    </row>
    <row customHeight="1" ht="11.25"/>
    <row s="3122" customFormat="1" customHeight="1" ht="22.5">
      <c r="A39" s="1832"/>
      <c r="B39" s="463"/>
      <c r="C39" s="865"/>
      <c r="D39" s="446"/>
      <c r="E39" s="866"/>
      <c r="F39" s="1853"/>
      <c r="G39" s="1863"/>
      <c r="H39" s="481"/>
    </row>
    <row customHeight="1" ht="11.25"/>
    <row s="5366" customFormat="1" customHeight="1" ht="11.25">
      <c r="A41" s="1856" t="s">
        <v>1141</v>
      </c>
    </row>
    <row customHeight="1" ht="11.25"/>
    <row s="3122" customFormat="1" customHeight="1" ht="22.5">
      <c r="A43" s="463"/>
      <c r="B43" s="463"/>
      <c r="C43" s="463"/>
      <c r="D43" s="446"/>
      <c r="E43" s="866"/>
      <c r="F43" s="867"/>
      <c r="G43" s="1863"/>
      <c r="H43" s="481"/>
    </row>
    <row r="46" s="5366" customFormat="1" customHeight="1" ht="17.25">
      <c r="A46" s="1856" t="s">
        <v>1142</v>
      </c>
    </row>
    <row r="48" s="3207" customFormat="1" customHeight="1" ht="18.75">
      <c r="A48" s="74"/>
      <c r="B48" s="1864"/>
      <c r="C48" s="1864"/>
      <c r="D48" s="1865"/>
      <c r="E48" s="1850"/>
      <c r="F48" s="874">
        <v>13</v>
      </c>
      <c r="G48" s="873"/>
      <c r="H48" s="799"/>
      <c r="I48" s="797"/>
      <c r="J48" s="526" t="s">
        <v>60</v>
      </c>
      <c r="K48" s="1866" t="s">
        <v>24</v>
      </c>
      <c r="L48" s="74"/>
      <c r="M48" s="1676"/>
      <c r="N48" s="1676"/>
      <c r="O48" s="1676"/>
      <c r="P48" s="522" t="s">
        <v>384</v>
      </c>
      <c r="Q48" s="522" t="s">
        <v>385</v>
      </c>
      <c r="R48" s="523" t="s">
        <v>386</v>
      </c>
      <c r="S48" s="1676" t="s">
        <v>387</v>
      </c>
      <c r="T48" s="1676"/>
      <c r="U48" s="1676"/>
      <c r="V48" s="1676"/>
    </row>
    <row r="50" s="5366" customFormat="1" customHeight="1" ht="11.25">
      <c r="A50" s="1856" t="s">
        <v>1143</v>
      </c>
    </row>
    <row r="52" s="2984"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5366" customFormat="1" customHeight="1" ht="11.25">
      <c r="A54" s="1856" t="s">
        <v>1144</v>
      </c>
    </row>
    <row r="56" s="5254" customFormat="1" customHeight="1" ht="15">
      <c r="A56" s="131" t="s">
        <v>88</v>
      </c>
      <c r="B56" s="111" t="s">
        <v>24</v>
      </c>
      <c r="C56" s="1867"/>
      <c r="D56" s="114"/>
      <c r="E56" s="387"/>
      <c r="F56" s="387"/>
      <c r="G56" s="1844"/>
      <c r="H56" s="1866"/>
      <c r="I56" s="1845"/>
      <c r="K56" s="258"/>
      <c r="L56" s="259"/>
    </row>
    <row r="58" s="5366" customFormat="1" customHeight="1" ht="11.25">
      <c r="A58" s="1856" t="s">
        <v>1145</v>
      </c>
    </row>
    <row r="60" s="2984" customFormat="1" customHeight="1" ht="14.25">
      <c r="A60" s="339"/>
      <c r="B60" s="1168"/>
      <c r="C60" s="377"/>
      <c r="D60" s="1851"/>
      <c r="E60" s="892"/>
      <c r="F60" s="1866"/>
      <c r="G60" s="74"/>
      <c r="I60" s="1664"/>
      <c r="J60" s="1664"/>
    </row>
    <row r="62" s="5366" customFormat="1" customHeight="1" ht="11.25">
      <c r="A62" s="1856" t="s">
        <v>1146</v>
      </c>
    </row>
    <row r="64" s="2984"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1147</v>
      </c>
    </row>
    <row s="2984"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1148</v>
      </c>
    </row>
    <row r="67" s="5366" customFormat="1" customHeight="1" ht="11.25">
      <c r="A67" s="1856" t="s">
        <v>1149</v>
      </c>
    </row>
    <row r="69" s="2984"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1147</v>
      </c>
    </row>
    <row r="71" s="5366" customFormat="1" customHeight="1" ht="11.25">
      <c r="A71" s="1856" t="s">
        <v>1150</v>
      </c>
    </row>
    <row customHeight="1" ht="17.25"/>
    <row s="2984"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4" customFormat="1" customHeight="1" ht="11.25">
      <c r="A74" s="1174"/>
      <c r="B74" s="1174"/>
      <c r="C74" s="1174"/>
      <c r="D74" s="1168"/>
      <c r="E74" s="1178"/>
      <c r="F74" s="2406"/>
      <c r="G74" s="2356"/>
      <c r="H74" s="2356" t="s">
        <v>107</v>
      </c>
      <c r="I74" s="2410"/>
      <c r="J74" s="2334"/>
      <c r="K74" s="2411"/>
      <c r="L74" s="2404" t="s">
        <v>55</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4"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4"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4"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4" customFormat="1" customHeight="1" ht="11.25">
      <c r="A78" s="1174"/>
      <c r="B78" s="1174"/>
      <c r="C78" s="1174"/>
      <c r="D78" s="1168"/>
      <c r="E78" s="1178"/>
      <c r="F78" s="2406"/>
      <c r="G78" s="2356"/>
      <c r="H78" s="2356"/>
      <c r="I78" s="2410"/>
      <c r="J78" s="2334"/>
      <c r="K78" s="2411"/>
      <c r="L78" s="2404"/>
      <c r="M78" s="1982"/>
      <c r="N78" s="1185"/>
      <c r="O78" s="1185"/>
      <c r="P78" s="1176" t="s">
        <v>1152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4" customFormat="1" customHeight="1" ht="12">
      <c r="A79" s="1174"/>
      <c r="B79" s="1174"/>
      <c r="C79" s="1174"/>
      <c r="D79" s="1168"/>
      <c r="E79" s="1178"/>
      <c r="F79" s="2407"/>
      <c r="G79" s="1200"/>
      <c r="H79" s="1200"/>
      <c r="I79" s="2405" t="s">
        <v>1153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366" customFormat="1" customHeight="1" ht="11.25">
      <c r="A81" s="1856" t="s">
        <v>1154</v>
      </c>
    </row>
    <row r="83" s="2984"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4"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4"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366" customFormat="1" customHeight="1" ht="11.25">
      <c r="A87" s="1856" t="s">
        <v>1155</v>
      </c>
    </row>
    <row r="89" s="2984"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366" customFormat="1" customHeight="1" ht="11.25">
      <c r="A91" s="1856" t="s">
        <v>1156</v>
      </c>
    </row>
    <row r="93" s="2984" customFormat="1" customHeight="1" ht="11.25">
      <c r="A93" s="1174"/>
      <c r="B93" s="1174"/>
      <c r="C93" s="1174"/>
      <c r="D93" s="1168"/>
      <c r="E93" s="1178"/>
      <c r="F93" s="1870"/>
      <c r="G93" s="1871"/>
      <c r="H93" s="2356" t="s">
        <v>107</v>
      </c>
      <c r="I93" s="2410"/>
      <c r="J93" s="2334"/>
      <c r="K93" s="2411"/>
      <c r="L93" s="2404" t="s">
        <v>55</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4"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4"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4"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4" customFormat="1" customHeight="1" ht="11.25">
      <c r="A97" s="1174"/>
      <c r="B97" s="1174"/>
      <c r="C97" s="1174"/>
      <c r="D97" s="1168"/>
      <c r="E97" s="1178"/>
      <c r="F97" s="1870"/>
      <c r="G97" s="1871"/>
      <c r="H97" s="2356"/>
      <c r="I97" s="2410"/>
      <c r="J97" s="2334"/>
      <c r="K97" s="2411"/>
      <c r="L97" s="2404"/>
      <c r="M97" s="1982"/>
      <c r="N97" s="1185"/>
      <c r="O97" s="1185"/>
      <c r="P97" s="1176" t="s">
        <v>1152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366" customFormat="1" customHeight="1" ht="11.25">
      <c r="A99" s="1856" t="s">
        <v>1157</v>
      </c>
    </row>
    <row customHeight="1" ht="17.25"/>
    <row s="502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02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022" customFormat="1" customHeight="1" ht="12">
      <c r="A103" s="930"/>
      <c r="B103" s="929"/>
      <c r="C103" s="930"/>
      <c r="D103" s="930"/>
      <c r="E103" s="930"/>
      <c r="F103" s="1224"/>
      <c r="G103" s="1841" t="s">
        <v>1158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366" customFormat="1" customHeight="1" ht="11.25">
      <c r="A105" s="1856" t="s">
        <v>1159</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603</v>
      </c>
      <c r="F110" s="2222"/>
      <c r="G110" s="2222"/>
      <c r="H110" s="2222"/>
      <c r="I110" s="2222"/>
      <c r="J110" s="2222"/>
      <c r="K110" s="2222"/>
      <c r="L110" s="2222"/>
      <c r="M110" s="2222"/>
      <c r="N110" s="2222"/>
      <c r="O110" s="2222"/>
      <c r="P110" s="2222"/>
      <c r="Q110" s="564">
        <f>SUMIF(T111:T112,"i",Q111:Q112)</f>
        <v>0</v>
      </c>
      <c r="R110" s="1024"/>
      <c r="S110" s="1839" t="s">
        <v>604</v>
      </c>
      <c r="T110" s="723" t="s">
        <v>605</v>
      </c>
      <c r="U110" s="2223">
        <v>1</v>
      </c>
      <c r="V110" s="2223" t="s">
        <v>568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606</v>
      </c>
      <c r="F113" s="2222"/>
      <c r="G113" s="2222"/>
      <c r="H113" s="2222"/>
      <c r="I113" s="2222"/>
      <c r="J113" s="2222"/>
      <c r="K113" s="2222"/>
      <c r="L113" s="2222"/>
      <c r="M113" s="2222"/>
      <c r="N113" s="2222"/>
      <c r="O113" s="2222"/>
      <c r="P113" s="2222"/>
      <c r="Q113" s="564">
        <f>SUMIF(T114:T115,"i",Q114:Q115)</f>
        <v>0</v>
      </c>
      <c r="R113" s="1024"/>
      <c r="S113" s="1839" t="s">
        <v>607</v>
      </c>
      <c r="T113" s="723" t="s">
        <v>605</v>
      </c>
      <c r="U113" s="2223">
        <v>1</v>
      </c>
      <c r="V113" s="2223" t="s">
        <v>568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366" customFormat="1" customHeight="1" ht="11.25">
      <c r="A117" s="1856" t="s">
        <v>1161</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603</v>
      </c>
      <c r="F122" s="2222"/>
      <c r="G122" s="2222"/>
      <c r="H122" s="2222"/>
      <c r="I122" s="2222"/>
      <c r="J122" s="2222"/>
      <c r="K122" s="2222"/>
      <c r="L122" s="2222"/>
      <c r="M122" s="2222"/>
      <c r="N122" s="2222"/>
      <c r="O122" s="2222"/>
      <c r="P122" s="2222"/>
      <c r="Q122" s="564">
        <f>SUMIF(T123:T124,"i",Q123:Q124)</f>
        <v>0</v>
      </c>
      <c r="R122" s="1024"/>
      <c r="S122" s="1839" t="s">
        <v>604</v>
      </c>
      <c r="T122" s="723" t="s">
        <v>605</v>
      </c>
      <c r="U122" s="2223">
        <v>1</v>
      </c>
      <c r="V122" s="2223" t="s">
        <v>568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605</v>
      </c>
      <c r="U125" s="2223">
        <v>1</v>
      </c>
      <c r="V125" s="2223" t="s">
        <v>568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366" customFormat="1" customHeight="1" ht="11.25">
      <c r="A129" s="1856" t="s">
        <v>1162</v>
      </c>
    </row>
    <row r="131" s="2666" customFormat="1" customHeight="1" ht="45">
      <c r="A131" s="1847"/>
      <c r="B131" s="1168"/>
      <c r="C131" s="418"/>
      <c r="D131" s="74"/>
      <c r="E131" s="2373"/>
      <c r="F131" s="1982" t="s">
        <v>107</v>
      </c>
      <c r="G131" s="2376" t="s">
        <v>24</v>
      </c>
      <c r="H131" s="277"/>
      <c r="I131" s="643" t="s">
        <v>107</v>
      </c>
      <c r="J131" s="1848" t="s">
        <v>1163</v>
      </c>
      <c r="K131" s="644" t="s">
        <v>539</v>
      </c>
      <c r="L131" s="2073" t="s">
        <v>539</v>
      </c>
      <c r="M131" s="2378"/>
      <c r="N131" s="644" t="s">
        <v>539</v>
      </c>
      <c r="O131" s="644" t="s">
        <v>539</v>
      </c>
      <c r="P131" s="644" t="s">
        <v>539</v>
      </c>
      <c r="Q131" s="645">
        <f>SUM(Q132:Q134)</f>
        <v>0</v>
      </c>
      <c r="R131" s="645">
        <f>IF(R128=0,0,(Q128/R128)*100)</f>
        <v>0</v>
      </c>
      <c r="S131" s="2041"/>
      <c r="T131" s="723" t="s">
        <v>605</v>
      </c>
      <c r="U131" s="74"/>
      <c r="V131" s="74"/>
      <c r="AC131" s="74"/>
    </row>
    <row s="2666" customFormat="1" customHeight="1" ht="11.25">
      <c r="A132" s="1847"/>
      <c r="B132" s="1168"/>
      <c r="C132" s="418"/>
      <c r="D132" s="74"/>
      <c r="E132" s="2374"/>
      <c r="F132" s="1982"/>
      <c r="G132" s="2376"/>
      <c r="H132" s="1971"/>
      <c r="I132" s="2356" t="s">
        <v>929</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1164</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1165</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929</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1164</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5366" customFormat="1" customHeight="1" ht="17.25">
      <c r="A144" s="1856" t="s">
        <v>1166</v>
      </c>
    </row>
    <row customHeight="1" ht="17.25">
      <c r="G145" s="1880"/>
      <c r="H145" s="1880"/>
      <c r="I145" s="1880"/>
      <c r="M145" s="1876"/>
    </row>
    <row s="5560"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56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406</v>
      </c>
      <c r="W147" s="312"/>
      <c r="Y147" s="1288"/>
      <c r="Z147" s="1288"/>
      <c r="AA147" s="1288"/>
      <c r="AB147" s="1288"/>
      <c r="AC147" s="1288"/>
      <c r="AD147" s="1288"/>
      <c r="AE147" s="1288"/>
      <c r="AF147" s="1288"/>
      <c r="AG147" s="1288"/>
      <c r="AH147" s="1288"/>
      <c r="AI147" s="1288"/>
      <c r="AJ147" s="1288"/>
      <c r="AK147" s="1288"/>
    </row>
    <row s="5560" customFormat="1" customHeight="1" ht="17.25">
      <c r="A148" s="1881"/>
      <c r="C148" s="1886"/>
      <c r="D148" s="2354"/>
      <c r="E148" s="2386"/>
      <c r="F148" s="1996"/>
      <c r="G148" s="2360"/>
      <c r="H148" s="2354"/>
      <c r="I148" s="2354"/>
      <c r="J148" s="2390"/>
      <c r="K148" s="2045"/>
      <c r="L148" s="2354"/>
      <c r="M148" s="2354"/>
      <c r="N148" s="2388"/>
      <c r="O148" s="1986"/>
      <c r="P148" s="310"/>
      <c r="Q148" s="311"/>
      <c r="R148" s="311" t="s">
        <v>254</v>
      </c>
      <c r="S148" s="1887"/>
      <c r="T148" s="1887"/>
      <c r="U148" s="1887"/>
      <c r="V148" s="1887"/>
      <c r="W148" s="312"/>
      <c r="Y148" s="1288"/>
      <c r="Z148" s="1288"/>
      <c r="AA148" s="1288"/>
      <c r="AB148" s="1288"/>
      <c r="AC148" s="1288"/>
      <c r="AD148" s="1288"/>
      <c r="AE148" s="1288"/>
      <c r="AF148" s="1288"/>
      <c r="AG148" s="1288"/>
      <c r="AH148" s="1288"/>
      <c r="AI148" s="1288"/>
      <c r="AJ148" s="1288"/>
      <c r="AK148" s="1288"/>
    </row>
    <row s="5560" customFormat="1" customHeight="1" ht="17.25">
      <c r="A149" s="1881"/>
      <c r="C149" s="1886"/>
      <c r="D149" s="2354"/>
      <c r="E149" s="2386"/>
      <c r="F149" s="1996"/>
      <c r="G149" s="2360"/>
      <c r="H149" s="2354"/>
      <c r="I149" s="2354"/>
      <c r="J149" s="2390"/>
      <c r="K149" s="1986"/>
      <c r="L149" s="310"/>
      <c r="M149" s="311"/>
      <c r="N149" s="311" t="s">
        <v>255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560" customFormat="1" customHeight="1" ht="17.25">
      <c r="A150" s="1881"/>
      <c r="C150" s="1886"/>
      <c r="D150" s="2354"/>
      <c r="E150" s="2386"/>
      <c r="F150" s="1997"/>
      <c r="G150" s="2360"/>
      <c r="H150" s="310"/>
      <c r="I150" s="311"/>
      <c r="J150" s="311" t="s">
        <v>256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560"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56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406</v>
      </c>
      <c r="W153" s="312"/>
      <c r="Y153" s="1288"/>
      <c r="Z153" s="1288"/>
      <c r="AA153" s="1288"/>
      <c r="AB153" s="1288"/>
      <c r="AC153" s="1288"/>
      <c r="AD153" s="1288"/>
      <c r="AE153" s="1288"/>
      <c r="AF153" s="1288"/>
      <c r="AG153" s="1288"/>
      <c r="AH153" s="1288"/>
      <c r="AI153" s="1288"/>
      <c r="AJ153" s="1288"/>
      <c r="AK153" s="1288"/>
    </row>
    <row s="5560" customFormat="1" customHeight="1" ht="17.25">
      <c r="A154" s="1881"/>
      <c r="C154" s="1886"/>
      <c r="D154" s="1871"/>
      <c r="E154" s="1888"/>
      <c r="F154" s="1825"/>
      <c r="G154" s="1889"/>
      <c r="H154" s="2354"/>
      <c r="I154" s="2354"/>
      <c r="J154" s="2390"/>
      <c r="K154" s="2045"/>
      <c r="L154" s="2354"/>
      <c r="M154" s="2354"/>
      <c r="N154" s="2388"/>
      <c r="O154" s="1986"/>
      <c r="P154" s="310"/>
      <c r="Q154" s="311"/>
      <c r="R154" s="311" t="s">
        <v>254</v>
      </c>
      <c r="S154" s="1887"/>
      <c r="T154" s="1887"/>
      <c r="U154" s="1887"/>
      <c r="V154" s="1887"/>
      <c r="W154" s="312"/>
      <c r="Y154" s="1288"/>
      <c r="Z154" s="1288"/>
      <c r="AA154" s="1288"/>
      <c r="AB154" s="1288"/>
      <c r="AC154" s="1288"/>
      <c r="AD154" s="1288"/>
      <c r="AE154" s="1288"/>
      <c r="AF154" s="1288"/>
      <c r="AG154" s="1288"/>
      <c r="AH154" s="1288"/>
      <c r="AI154" s="1288"/>
      <c r="AJ154" s="1288"/>
      <c r="AK154" s="1288"/>
    </row>
    <row s="5560" customFormat="1" customHeight="1" ht="17.25">
      <c r="A155" s="1881"/>
      <c r="C155" s="1886"/>
      <c r="D155" s="1871"/>
      <c r="E155" s="1888"/>
      <c r="F155" s="1825"/>
      <c r="G155" s="1889"/>
      <c r="H155" s="2354"/>
      <c r="I155" s="2354"/>
      <c r="J155" s="2390"/>
      <c r="K155" s="1986"/>
      <c r="L155" s="310"/>
      <c r="M155" s="311"/>
      <c r="N155" s="311" t="s">
        <v>255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560"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56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406</v>
      </c>
      <c r="W158" s="312"/>
      <c r="Y158" s="1288"/>
      <c r="Z158" s="1288"/>
      <c r="AA158" s="1288"/>
      <c r="AB158" s="1288"/>
      <c r="AC158" s="1288"/>
      <c r="AD158" s="1288"/>
      <c r="AE158" s="1288"/>
      <c r="AF158" s="1288"/>
      <c r="AG158" s="1288"/>
      <c r="AH158" s="1288"/>
      <c r="AI158" s="1288"/>
      <c r="AJ158" s="1288"/>
      <c r="AK158" s="1288"/>
    </row>
    <row s="5560" customFormat="1" customHeight="1" ht="17.25">
      <c r="A159" s="1881"/>
      <c r="C159" s="1886"/>
      <c r="D159" s="1871"/>
      <c r="E159" s="1888"/>
      <c r="F159" s="1825"/>
      <c r="G159" s="1889"/>
      <c r="H159" s="1871"/>
      <c r="I159" s="1871"/>
      <c r="J159" s="1890"/>
      <c r="K159" s="1800"/>
      <c r="L159" s="2354"/>
      <c r="M159" s="2354"/>
      <c r="N159" s="2388"/>
      <c r="O159" s="1986"/>
      <c r="P159" s="310"/>
      <c r="Q159" s="311"/>
      <c r="R159" s="311" t="s">
        <v>254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560"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56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56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366" customFormat="1" customHeight="1" ht="17.25">
      <c r="A166" s="1856" t="s">
        <v>1167</v>
      </c>
    </row>
    <row customHeight="1" ht="17.25">
      <c r="G167" s="1880"/>
      <c r="H167" s="1880"/>
      <c r="I167" s="1880"/>
      <c r="M167" s="1876"/>
    </row>
    <row s="5560"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56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560" customFormat="1" customHeight="1" ht="17.25">
      <c r="A170" s="1881"/>
      <c r="C170" s="1886"/>
      <c r="D170" s="2354"/>
      <c r="E170" s="2386"/>
      <c r="F170" s="1996"/>
      <c r="G170" s="2360"/>
      <c r="H170" s="2354"/>
      <c r="I170" s="2354"/>
      <c r="J170" s="2390"/>
      <c r="K170" s="2045"/>
      <c r="L170" s="2354"/>
      <c r="M170" s="2354"/>
      <c r="N170" s="2388"/>
      <c r="O170" s="1986"/>
      <c r="P170" s="310"/>
      <c r="Q170" s="311"/>
      <c r="R170" s="311" t="s">
        <v>254</v>
      </c>
      <c r="S170" s="1887"/>
      <c r="T170" s="1887"/>
      <c r="U170" s="1887"/>
      <c r="V170" s="1887"/>
      <c r="W170" s="1463"/>
      <c r="Y170" s="1288"/>
      <c r="Z170" s="1288"/>
      <c r="AA170" s="1288"/>
      <c r="AB170" s="1288"/>
      <c r="AC170" s="1288"/>
      <c r="AD170" s="1288"/>
      <c r="AE170" s="1288"/>
      <c r="AF170" s="1288"/>
      <c r="AG170" s="1288"/>
      <c r="AH170" s="1288"/>
      <c r="AI170" s="1288"/>
      <c r="AJ170" s="1288"/>
      <c r="AK170" s="1288"/>
    </row>
    <row s="5560" customFormat="1" customHeight="1" ht="17.25">
      <c r="A171" s="1881"/>
      <c r="C171" s="1886"/>
      <c r="D171" s="2354"/>
      <c r="E171" s="2386"/>
      <c r="F171" s="1996"/>
      <c r="G171" s="2360"/>
      <c r="H171" s="2354"/>
      <c r="I171" s="2354"/>
      <c r="J171" s="2390"/>
      <c r="K171" s="1986"/>
      <c r="L171" s="310"/>
      <c r="M171" s="311"/>
      <c r="N171" s="311" t="s">
        <v>255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560" customFormat="1" customHeight="1" ht="17.25">
      <c r="A172" s="1881"/>
      <c r="C172" s="1886"/>
      <c r="D172" s="2354"/>
      <c r="E172" s="2386"/>
      <c r="F172" s="1997"/>
      <c r="G172" s="2360"/>
      <c r="H172" s="310"/>
      <c r="I172" s="311"/>
      <c r="J172" s="311" t="s">
        <v>256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560"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56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560" customFormat="1" customHeight="1" ht="17.25">
      <c r="A176" s="1881"/>
      <c r="C176" s="1886"/>
      <c r="D176" s="1871"/>
      <c r="E176" s="1888"/>
      <c r="F176" s="1825"/>
      <c r="G176" s="1889"/>
      <c r="H176" s="2354"/>
      <c r="I176" s="2354"/>
      <c r="J176" s="2390"/>
      <c r="K176" s="2045"/>
      <c r="L176" s="2354"/>
      <c r="M176" s="2354"/>
      <c r="N176" s="2388"/>
      <c r="O176" s="1986"/>
      <c r="P176" s="310"/>
      <c r="Q176" s="311"/>
      <c r="R176" s="311" t="s">
        <v>254</v>
      </c>
      <c r="S176" s="1887"/>
      <c r="T176" s="1887"/>
      <c r="U176" s="1887"/>
      <c r="V176" s="1887"/>
      <c r="W176" s="1463"/>
      <c r="Y176" s="1288"/>
      <c r="Z176" s="1288"/>
      <c r="AA176" s="1288"/>
      <c r="AB176" s="1288"/>
      <c r="AC176" s="1288"/>
      <c r="AD176" s="1288"/>
      <c r="AE176" s="1288"/>
      <c r="AF176" s="1288"/>
      <c r="AG176" s="1288"/>
      <c r="AH176" s="1288"/>
      <c r="AI176" s="1288"/>
      <c r="AJ176" s="1288"/>
      <c r="AK176" s="1288"/>
    </row>
    <row s="5560" customFormat="1" customHeight="1" ht="17.25">
      <c r="A177" s="1881"/>
      <c r="C177" s="1886"/>
      <c r="D177" s="1871"/>
      <c r="E177" s="1888"/>
      <c r="F177" s="1825"/>
      <c r="G177" s="1889"/>
      <c r="H177" s="2354"/>
      <c r="I177" s="2354"/>
      <c r="J177" s="2390"/>
      <c r="K177" s="1986"/>
      <c r="L177" s="310"/>
      <c r="M177" s="311"/>
      <c r="N177" s="311" t="s">
        <v>255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560"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56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560" customFormat="1" customHeight="1" ht="17.25">
      <c r="A181" s="1881"/>
      <c r="C181" s="1886"/>
      <c r="D181" s="1871"/>
      <c r="E181" s="1888"/>
      <c r="F181" s="1825"/>
      <c r="G181" s="1889"/>
      <c r="H181" s="1871"/>
      <c r="I181" s="1871"/>
      <c r="J181" s="1893"/>
      <c r="K181" s="1889"/>
      <c r="L181" s="2354"/>
      <c r="M181" s="2354"/>
      <c r="N181" s="2388"/>
      <c r="O181" s="1986"/>
      <c r="P181" s="310"/>
      <c r="Q181" s="311"/>
      <c r="R181" s="311" t="s">
        <v>254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560"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56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366" customFormat="1" customHeight="1" ht="17.25">
      <c r="A192" s="1856" t="s">
        <v>1168</v>
      </c>
    </row>
    <row customHeight="1" ht="17.25">
      <c r="G193" s="1880"/>
      <c r="H193" s="1880"/>
      <c r="I193" s="1880"/>
      <c r="M193" s="1876"/>
    </row>
    <row s="2666"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1169</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1170</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1" customFormat="1" customHeight="1" ht="11.25">
      <c r="D199" s="2416"/>
      <c r="E199" s="2036"/>
      <c r="F199" s="2036"/>
      <c r="G199" s="1986"/>
      <c r="H199" s="1610"/>
      <c r="I199" s="1611"/>
      <c r="J199" s="2419" t="s">
        <v>256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1"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4FA26C-073A-624C-CCA8-4421F03853E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748" width="32.57421875" customWidth="1"/>
    <col min="2" max="2" style="5749" width="11.00390625" customWidth="1"/>
    <col min="3" max="3" style="5749" width="9.140625"/>
    <col min="4" max="4" style="5749" width="26.57421875" customWidth="1"/>
    <col min="5" max="5" style="5663" width="27.7109375" customWidth="1"/>
    <col min="6" max="6" style="5663" width="23.57421875" customWidth="1"/>
    <col min="7" max="7" style="5663" width="31.421875" customWidth="1"/>
    <col min="8" max="8" style="5663" width="40.8515625" customWidth="1"/>
    <col min="9" max="9" style="5663" width="14.57421875" customWidth="1"/>
    <col min="10" max="10" style="5663" width="26.8515625" customWidth="1"/>
    <col min="11" max="11" style="5663" width="50.00390625" customWidth="1"/>
    <col min="12" max="12" style="5663" width="52.421875" customWidth="1"/>
    <col min="13" max="13" style="5663" width="10.7109375" customWidth="1"/>
    <col min="14" max="14" style="5663" width="55.140625" customWidth="1"/>
    <col min="15" max="15" style="5663" width="31.8515625" customWidth="1"/>
    <col min="16" max="16" style="5663" width="23.8515625" customWidth="1"/>
    <col min="17" max="17" style="5663" width="46.57421875" customWidth="1"/>
    <col min="18" max="18" style="5663" width="24.00390625" customWidth="1"/>
    <col min="19" max="19" style="5663" width="20.57421875" customWidth="1"/>
    <col min="20" max="20" style="5663" width="22.00390625" customWidth="1"/>
    <col min="21" max="22" style="5663" width="26.421875" customWidth="1"/>
    <col min="23" max="23" style="5663" width="8.28125" hidden="1" customWidth="1"/>
    <col min="24" max="24" style="5663" width="59.7109375" customWidth="1"/>
    <col min="25" max="25" style="5663" width="49.140625" customWidth="1"/>
    <col min="26" max="26" style="5663" width="11.140625" customWidth="1"/>
    <col min="27" max="30" style="5663" width="29.00390625" customWidth="1"/>
    <col min="31" max="31" style="5663" width="9.140625"/>
    <col min="32" max="32" style="5663" width="34.7109375" customWidth="1"/>
    <col min="33" max="33" style="5663" width="9.140625"/>
    <col min="34" max="35" style="5663" width="34.421875" customWidth="1"/>
    <col min="36" max="36" style="5663" width="9.140625"/>
    <col min="37" max="37" style="5663" width="24.57421875" customWidth="1"/>
    <col min="38" max="38" style="5663" width="9.140625"/>
    <col min="39" max="39" style="5663" width="26.140625" customWidth="1"/>
    <col min="40" max="40" style="5663" width="1.7109375" customWidth="1"/>
    <col min="41" max="41" style="5663" width="9.140625"/>
    <col min="42" max="43" style="5663" width="47.8515625" customWidth="1"/>
    <col min="44" max="44" style="5663" width="1.7109375" customWidth="1"/>
    <col min="45" max="45" style="5663" width="21.421875" customWidth="1"/>
    <col min="46" max="46" style="5663" width="1.7109375" customWidth="1"/>
    <col min="47" max="47" style="5663" width="31.28125" customWidth="1"/>
    <col min="48" max="48" style="5663" width="1.7109375" customWidth="1"/>
    <col min="49" max="50" style="5750" width="9.140625"/>
    <col min="51" max="51" style="5663" width="3.7109375" customWidth="1"/>
    <col min="52" max="52" style="5663" width="55.00390625" customWidth="1"/>
    <col min="53" max="53" style="5663" width="9.140625"/>
    <col min="54" max="54" style="5663" width="35.140625" customWidth="1"/>
    <col min="55" max="55" style="5663" width="9.140625"/>
    <col min="56" max="56" style="5663" width="1.7109375" customWidth="1"/>
    <col min="57" max="57" style="5751" width="12.57421875" customWidth="1"/>
    <col min="58" max="58" style="5751" width="14.28125" customWidth="1"/>
    <col min="59" max="59" style="5663" width="30.7109375" customWidth="1"/>
    <col min="60" max="60" style="5658" width="40.7109375" customWidth="1"/>
    <col min="61" max="61" style="5658" width="15.00390625" customWidth="1"/>
    <col min="62" max="62" style="5658" width="40.7109375" customWidth="1"/>
    <col min="63" max="63" style="5658" width="2.7109375" customWidth="1"/>
    <col min="64" max="64" style="5658" width="44.7109375" customWidth="1"/>
    <col min="65" max="65" style="5658" width="2.7109375" customWidth="1"/>
    <col min="66" max="66" style="5658" width="40.7109375" customWidth="1"/>
    <col min="67" max="68" style="5663" width="9.140625"/>
    <col min="69" max="69" style="5663" width="18.140625" customWidth="1"/>
    <col min="70" max="70" style="5663" width="57.8515625" customWidth="1"/>
    <col min="71" max="71" style="5718" width="1.7109375" customWidth="1"/>
    <col min="72" max="72" style="5663" width="22.57421875" customWidth="1"/>
    <col min="73" max="73" style="5663" width="57.8515625" customWidth="1"/>
    <col min="74" max="74" style="5663" width="1.7109375" customWidth="1"/>
    <col min="75" max="75" style="5663" width="22.57421875" customWidth="1"/>
    <col min="76" max="76" style="5663" width="57.8515625" customWidth="1"/>
    <col min="77" max="77" style="5663" width="1.7109375" customWidth="1"/>
    <col min="78" max="78" style="5663" width="22.57421875" customWidth="1"/>
    <col min="79" max="79" style="5663" width="57.8515625" customWidth="1"/>
    <col min="80" max="81" style="5663" width="9.140625"/>
    <col min="82" max="82" style="5663" width="49.57421875" customWidth="1"/>
  </cols>
  <sheetData>
    <row s="5653" customFormat="1" customHeight="1" ht="11.25">
      <c r="A1" s="1074" t="s">
        <v>1172</v>
      </c>
      <c r="B1" s="1074" t="s">
        <v>1173</v>
      </c>
      <c r="C1" s="1074" t="s">
        <v>1174</v>
      </c>
      <c r="D1" s="1074" t="s">
        <v>1175</v>
      </c>
      <c r="E1" s="1074" t="s">
        <v>1176</v>
      </c>
      <c r="F1" s="1074" t="s">
        <v>1177</v>
      </c>
      <c r="G1" s="1074" t="s">
        <v>1178</v>
      </c>
      <c r="H1" s="1074" t="s">
        <v>1179</v>
      </c>
      <c r="I1" s="1074" t="s">
        <v>1180</v>
      </c>
      <c r="J1" s="1074" t="s">
        <v>1181</v>
      </c>
      <c r="K1" s="1074" t="s">
        <v>1182</v>
      </c>
      <c r="L1" s="1074" t="s">
        <v>1183</v>
      </c>
      <c r="M1" s="1074"/>
      <c r="N1" s="1074" t="s">
        <v>1184</v>
      </c>
      <c r="O1" s="1074" t="s">
        <v>1185</v>
      </c>
      <c r="P1" s="1074" t="s">
        <v>1186</v>
      </c>
      <c r="Q1" s="1074" t="s">
        <v>1187</v>
      </c>
      <c r="R1" s="1074" t="s">
        <v>1188</v>
      </c>
      <c r="S1" s="1074" t="s">
        <v>1189</v>
      </c>
      <c r="T1" s="1074" t="s">
        <v>1190</v>
      </c>
      <c r="U1" s="1074" t="s">
        <v>1191</v>
      </c>
      <c r="V1" s="1074"/>
      <c r="W1" s="803" t="s">
        <v>1192</v>
      </c>
      <c r="X1" s="1074" t="s">
        <v>1193</v>
      </c>
      <c r="Y1" s="1074" t="s">
        <v>1194</v>
      </c>
      <c r="Z1" s="1074"/>
      <c r="AA1" s="1074" t="s">
        <v>1195</v>
      </c>
      <c r="AB1" s="1074"/>
      <c r="AC1" s="1074" t="s">
        <v>1196</v>
      </c>
      <c r="AD1" s="1074"/>
      <c r="AF1" s="1074" t="s">
        <v>1197</v>
      </c>
      <c r="AH1" s="1074" t="s">
        <v>1198</v>
      </c>
      <c r="AI1" s="1074" t="s">
        <v>1199</v>
      </c>
      <c r="AK1" s="1074" t="s">
        <v>1200</v>
      </c>
      <c r="AM1" s="1074" t="s">
        <v>1201</v>
      </c>
      <c r="AP1" s="1074" t="s">
        <v>1202</v>
      </c>
      <c r="AQ1" s="1074" t="s">
        <v>1203</v>
      </c>
      <c r="AS1" s="1074" t="s">
        <v>1204</v>
      </c>
      <c r="AU1" s="1074" t="s">
        <v>1205</v>
      </c>
      <c r="AW1" s="1074" t="s">
        <v>1206</v>
      </c>
      <c r="AX1" s="1074" t="s">
        <v>1207</v>
      </c>
      <c r="AZ1" s="1160" t="s">
        <v>1208</v>
      </c>
      <c r="BB1" s="1074" t="s">
        <v>1209</v>
      </c>
      <c r="BC1" s="1074"/>
      <c r="BE1" s="1074" t="s">
        <v>1210</v>
      </c>
      <c r="BF1" s="1074" t="s">
        <v>1211</v>
      </c>
      <c r="BH1" s="1076" t="s">
        <v>715</v>
      </c>
      <c r="BI1" s="1077"/>
      <c r="BJ1" s="1078" t="s">
        <v>1212</v>
      </c>
      <c r="BK1" s="1077"/>
      <c r="BL1" s="1079" t="s">
        <v>813</v>
      </c>
      <c r="BM1" s="1077"/>
      <c r="BN1" s="1080" t="s">
        <v>1213</v>
      </c>
      <c r="BS1" s="1457"/>
    </row>
    <row customHeight="1" ht="11.25">
      <c r="A2" s="1081" t="s">
        <v>1214</v>
      </c>
      <c r="B2" s="1082">
        <v>2000</v>
      </c>
      <c r="C2" s="1082">
        <v>2022</v>
      </c>
      <c r="D2" s="1082" t="s">
        <v>60</v>
      </c>
      <c r="E2" s="1083" t="s">
        <v>1215</v>
      </c>
      <c r="F2" s="1083" t="s">
        <v>1216</v>
      </c>
      <c r="G2" s="1083" t="s">
        <v>1217</v>
      </c>
      <c r="H2" s="1084" t="s">
        <v>53</v>
      </c>
      <c r="I2" s="1083" t="s">
        <v>107</v>
      </c>
      <c r="J2" s="1083" t="s">
        <v>1218</v>
      </c>
      <c r="K2" s="1085" t="s">
        <v>1219</v>
      </c>
      <c r="L2" s="1086"/>
      <c r="M2" s="1085">
        <v>1</v>
      </c>
      <c r="N2" s="1170" t="s">
        <v>1220</v>
      </c>
      <c r="O2" s="1084" t="s">
        <v>1221</v>
      </c>
      <c r="P2" s="1087" t="s">
        <v>33</v>
      </c>
      <c r="Q2" s="1088" t="s">
        <v>509</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1236</v>
      </c>
      <c r="BB2" s="1128" t="s">
        <v>1237</v>
      </c>
      <c r="BC2" s="1128" t="s">
        <v>1238</v>
      </c>
      <c r="BE2" s="1128">
        <v>2000</v>
      </c>
      <c r="BF2" s="1128" t="s">
        <v>1239</v>
      </c>
    </row>
    <row customHeight="1" ht="11.25">
      <c r="A3" s="1081" t="s">
        <v>1240</v>
      </c>
      <c r="B3" s="1082">
        <v>2001</v>
      </c>
      <c r="C3" s="1082">
        <v>2023</v>
      </c>
      <c r="D3" s="1082" t="s">
        <v>55</v>
      </c>
      <c r="E3" s="1083" t="s">
        <v>1241</v>
      </c>
      <c r="F3" s="1083" t="s">
        <v>1242</v>
      </c>
      <c r="G3" s="1083" t="s">
        <v>1243</v>
      </c>
      <c r="H3" s="1084" t="s">
        <v>1244</v>
      </c>
      <c r="I3" s="1083" t="s">
        <v>108</v>
      </c>
      <c r="J3" s="1083" t="s">
        <v>549</v>
      </c>
      <c r="K3" s="1085" t="s">
        <v>1245</v>
      </c>
      <c r="L3" s="1086">
        <f>_xlfn.IFERROR(MATCH(K3,OFFER_METHOD,0),0)</f>
        <v>0</v>
      </c>
      <c r="M3" s="1085">
        <v>2</v>
      </c>
      <c r="N3" s="1170" t="s">
        <v>1246</v>
      </c>
      <c r="O3" s="1084" t="s">
        <v>1247</v>
      </c>
      <c r="P3" s="1087" t="s">
        <v>1248</v>
      </c>
      <c r="Q3" s="1088" t="s">
        <v>1249</v>
      </c>
      <c r="R3" s="129" t="s">
        <v>1250</v>
      </c>
      <c r="S3" s="129" t="s">
        <v>1251</v>
      </c>
      <c r="T3" s="1089" t="s">
        <v>1252</v>
      </c>
      <c r="U3" s="1086" t="s">
        <v>1253</v>
      </c>
      <c r="V3" s="1090">
        <v>2</v>
      </c>
      <c r="W3" s="1091"/>
      <c r="X3" s="1091" t="s">
        <v>1254</v>
      </c>
      <c r="Y3" s="1082" t="s">
        <v>1227</v>
      </c>
      <c r="Z3" s="1092"/>
      <c r="AA3" s="1082" t="s">
        <v>1255</v>
      </c>
      <c r="AB3" s="1093" t="s">
        <v>1255</v>
      </c>
      <c r="AC3" s="1082" t="s">
        <v>1256</v>
      </c>
      <c r="AD3" s="1093" t="s">
        <v>1256</v>
      </c>
      <c r="AF3" s="1084" t="s">
        <v>1253</v>
      </c>
      <c r="AH3" s="1083" t="s">
        <v>1257</v>
      </c>
      <c r="AI3" s="1083" t="s">
        <v>1258</v>
      </c>
      <c r="AK3" s="1083" t="s">
        <v>1259</v>
      </c>
      <c r="AM3" s="1083" t="s">
        <v>1260</v>
      </c>
      <c r="AP3" s="1094" t="s">
        <v>1261</v>
      </c>
      <c r="AQ3" s="1095" t="s">
        <v>1261</v>
      </c>
      <c r="AS3" s="1082" t="s">
        <v>1262</v>
      </c>
      <c r="AU3" s="1128" t="s">
        <v>1263</v>
      </c>
      <c r="AW3" s="1128" t="s">
        <v>1264</v>
      </c>
      <c r="AX3" s="1128" t="s">
        <v>1264</v>
      </c>
      <c r="AZ3" s="1128" t="s">
        <v>1265</v>
      </c>
      <c r="BB3" s="1128" t="s">
        <v>1266</v>
      </c>
      <c r="BC3" s="1128" t="s">
        <v>1238</v>
      </c>
      <c r="BE3" s="1128">
        <v>2001</v>
      </c>
      <c r="BF3" s="1128" t="s">
        <v>1267</v>
      </c>
      <c r="BH3" s="1074" t="s">
        <v>1268</v>
      </c>
      <c r="BJ3" s="1074" t="s">
        <v>1269</v>
      </c>
      <c r="BL3" s="1074" t="s">
        <v>1270</v>
      </c>
      <c r="BN3" s="1074" t="s">
        <v>1271</v>
      </c>
      <c r="BR3" s="1074" t="s">
        <v>1272</v>
      </c>
      <c r="BS3" s="1458"/>
      <c r="BT3" s="1077"/>
      <c r="BU3" s="1074" t="s">
        <v>1273</v>
      </c>
      <c r="BV3" s="1077"/>
      <c r="BW3" s="1730"/>
      <c r="BX3" s="1732" t="s">
        <v>1274</v>
      </c>
      <c r="CA3" s="1074" t="s">
        <v>1275</v>
      </c>
    </row>
    <row customHeight="1" ht="11.25">
      <c r="A4" s="1081" t="s">
        <v>1276</v>
      </c>
      <c r="B4" s="1082">
        <v>2002</v>
      </c>
      <c r="C4" s="1082">
        <v>2024</v>
      </c>
      <c r="E4" s="1083" t="s">
        <v>1277</v>
      </c>
      <c r="F4" s="1083" t="s">
        <v>1278</v>
      </c>
      <c r="H4" s="1084" t="s">
        <v>1279</v>
      </c>
      <c r="I4" s="1083" t="s">
        <v>88</v>
      </c>
      <c r="J4" s="1083" t="s">
        <v>1280</v>
      </c>
      <c r="K4" s="1085" t="s">
        <v>1281</v>
      </c>
      <c r="L4" s="1086">
        <f>_xlfn.IFERROR(MATCH(K4,OFFER_METHOD,0),0)</f>
        <v>0</v>
      </c>
      <c r="M4" s="1085">
        <v>3</v>
      </c>
      <c r="N4" s="1170" t="s">
        <v>1282</v>
      </c>
      <c r="O4" s="1083" t="s">
        <v>1283</v>
      </c>
      <c r="Q4" s="1088" t="s">
        <v>1284</v>
      </c>
      <c r="R4" s="129" t="s">
        <v>1285</v>
      </c>
      <c r="S4" s="129" t="s">
        <v>1286</v>
      </c>
      <c r="T4" s="1089" t="s">
        <v>1287</v>
      </c>
      <c r="U4" s="1086" t="s">
        <v>1288</v>
      </c>
      <c r="V4" s="1090">
        <v>3</v>
      </c>
      <c r="W4" s="1091"/>
      <c r="X4" s="1091" t="s">
        <v>1289</v>
      </c>
      <c r="Y4" s="1082" t="s">
        <v>1227</v>
      </c>
      <c r="Z4" s="1098"/>
      <c r="AC4" s="1082" t="s">
        <v>1290</v>
      </c>
      <c r="AD4" s="1093" t="s">
        <v>1290</v>
      </c>
      <c r="AF4" s="1084" t="s">
        <v>1288</v>
      </c>
      <c r="AH4" s="1084" t="s">
        <v>1291</v>
      </c>
      <c r="AK4" s="1083" t="s">
        <v>1292</v>
      </c>
      <c r="AM4" s="1083" t="s">
        <v>1293</v>
      </c>
      <c r="AP4" s="1094" t="s">
        <v>1254</v>
      </c>
      <c r="AQ4" s="1095" t="s">
        <v>1254</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89</v>
      </c>
      <c r="K5" s="1085" t="s">
        <v>1314</v>
      </c>
      <c r="L5" s="1086">
        <f>_xlfn.IFERROR(MATCH(K5,OFFER_METHOD,0),0)</f>
        <v>0</v>
      </c>
      <c r="M5" s="1085">
        <v>4</v>
      </c>
      <c r="N5" s="1099" t="s">
        <v>1315</v>
      </c>
      <c r="O5" s="1083" t="s">
        <v>1316</v>
      </c>
      <c r="Q5" s="1088" t="s">
        <v>1317</v>
      </c>
      <c r="R5" s="129" t="s">
        <v>1318</v>
      </c>
      <c r="T5" s="1084" t="s">
        <v>1319</v>
      </c>
      <c r="U5" s="1086" t="s">
        <v>1320</v>
      </c>
      <c r="V5" s="1090">
        <v>4</v>
      </c>
      <c r="W5" s="1091"/>
      <c r="X5" s="1091" t="s">
        <v>164</v>
      </c>
      <c r="Y5" s="1082" t="s">
        <v>1321</v>
      </c>
      <c r="Z5" s="1098">
        <v>1</v>
      </c>
      <c r="AF5" s="1084" t="s">
        <v>1322</v>
      </c>
      <c r="AH5" s="1083" t="s">
        <v>1323</v>
      </c>
      <c r="AK5" s="1083" t="s">
        <v>1324</v>
      </c>
      <c r="AM5" s="1083" t="s">
        <v>1325</v>
      </c>
      <c r="AP5" s="1094" t="s">
        <v>164</v>
      </c>
      <c r="AQ5" s="1095" t="s">
        <v>164</v>
      </c>
      <c r="AU5" s="1128" t="s">
        <v>519</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213</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109</v>
      </c>
      <c r="J6" s="1074" t="s">
        <v>1338</v>
      </c>
      <c r="L6" s="1086">
        <f>SUM(kind_of_control_method_filter)</f>
        <v>0</v>
      </c>
      <c r="N6" s="1099" t="s">
        <v>1339</v>
      </c>
      <c r="O6" s="1083" t="s">
        <v>1340</v>
      </c>
      <c r="R6" s="129" t="s">
        <v>509</v>
      </c>
      <c r="T6" s="1084" t="s">
        <v>1341</v>
      </c>
      <c r="U6" s="1086" t="s">
        <v>1322</v>
      </c>
      <c r="V6" s="1090">
        <v>5</v>
      </c>
      <c r="W6" s="1091"/>
      <c r="X6" s="1082" t="s">
        <v>170</v>
      </c>
      <c r="Y6" s="1082" t="s">
        <v>1342</v>
      </c>
      <c r="Z6" s="1098"/>
      <c r="AA6" s="1101"/>
      <c r="AH6" s="1083" t="s">
        <v>1343</v>
      </c>
      <c r="AK6" s="1083" t="s">
        <v>1344</v>
      </c>
      <c r="AM6" s="1083" t="s">
        <v>1345</v>
      </c>
      <c r="AP6" s="1094" t="s">
        <v>170</v>
      </c>
      <c r="AQ6" s="1095" t="s">
        <v>170</v>
      </c>
      <c r="AU6" s="1128" t="s">
        <v>521</v>
      </c>
      <c r="AW6" s="1128" t="s">
        <v>1346</v>
      </c>
      <c r="AX6" s="1128" t="s">
        <v>1346</v>
      </c>
      <c r="BB6" s="1128" t="s">
        <v>1347</v>
      </c>
      <c r="BC6" s="1128" t="s">
        <v>1329</v>
      </c>
      <c r="BE6" s="1128">
        <v>2004</v>
      </c>
      <c r="BF6" s="1128" t="s">
        <v>1348</v>
      </c>
      <c r="BH6" s="1075" t="s">
        <v>1349</v>
      </c>
      <c r="BJ6" s="1075" t="s">
        <v>1350</v>
      </c>
      <c r="BL6" s="1075" t="s">
        <v>1350</v>
      </c>
      <c r="BN6" s="1075" t="s">
        <v>1351</v>
      </c>
      <c r="BQ6" s="1311">
        <v>4213784</v>
      </c>
      <c r="BR6" s="1325" t="s">
        <v>1261</v>
      </c>
      <c r="BS6" s="1460"/>
      <c r="BT6" s="1311">
        <v>64236872</v>
      </c>
      <c r="BU6" s="1075" t="s">
        <v>218</v>
      </c>
      <c r="BV6" s="1077"/>
      <c r="BW6" s="1735">
        <v>4213768</v>
      </c>
      <c r="BX6" s="1733" t="s">
        <v>238</v>
      </c>
      <c r="BZ6" s="1311">
        <v>64237510</v>
      </c>
      <c r="CA6" s="1075" t="s">
        <v>1352</v>
      </c>
    </row>
    <row customHeight="1" ht="11.25">
      <c r="A7" s="1081" t="s">
        <v>1353</v>
      </c>
      <c r="B7" s="1082">
        <v>2005</v>
      </c>
      <c r="E7" s="1083" t="s">
        <v>1354</v>
      </c>
      <c r="F7" s="1100"/>
      <c r="H7" s="1084" t="s">
        <v>1355</v>
      </c>
      <c r="I7" s="1083" t="s">
        <v>90</v>
      </c>
      <c r="J7" s="1083" t="s">
        <v>1356</v>
      </c>
      <c r="N7" s="1103" t="s">
        <v>1357</v>
      </c>
      <c r="O7" s="1083" t="s">
        <v>1358</v>
      </c>
      <c r="U7" s="1086" t="s">
        <v>55</v>
      </c>
      <c r="V7" s="370" t="s">
        <v>90</v>
      </c>
      <c r="W7" s="1091"/>
      <c r="X7" s="1082" t="s">
        <v>176</v>
      </c>
      <c r="Y7" s="1082" t="s">
        <v>1321</v>
      </c>
      <c r="Z7" s="1098"/>
      <c r="AA7" s="1101"/>
      <c r="AH7" s="1083" t="s">
        <v>1359</v>
      </c>
      <c r="AK7" s="1083" t="s">
        <v>1360</v>
      </c>
      <c r="AM7" s="1083" t="s">
        <v>1361</v>
      </c>
      <c r="AP7" s="1094" t="s">
        <v>176</v>
      </c>
      <c r="AQ7" s="1095" t="s">
        <v>176</v>
      </c>
      <c r="AU7" s="1128" t="s">
        <v>1362</v>
      </c>
      <c r="AW7" s="1128" t="s">
        <v>1363</v>
      </c>
      <c r="AX7" s="1128" t="s">
        <v>1363</v>
      </c>
      <c r="AZ7" s="1074" t="s">
        <v>1364</v>
      </c>
      <c r="BB7" s="1128" t="s">
        <v>1365</v>
      </c>
      <c r="BC7" s="1128" t="s">
        <v>1329</v>
      </c>
      <c r="BE7" s="1128">
        <v>2005</v>
      </c>
      <c r="BF7" s="1128" t="s">
        <v>1366</v>
      </c>
      <c r="BH7" s="1075" t="s">
        <v>1367</v>
      </c>
      <c r="BJ7" s="1075" t="s">
        <v>1349</v>
      </c>
      <c r="BL7" s="1075" t="s">
        <v>1349</v>
      </c>
      <c r="BN7" s="1075" t="s">
        <v>1368</v>
      </c>
      <c r="BQ7" s="1311">
        <v>4213781</v>
      </c>
      <c r="BR7" s="1075" t="s">
        <v>1254</v>
      </c>
      <c r="BS7" s="1459"/>
      <c r="BT7" s="1311">
        <v>64236873</v>
      </c>
      <c r="BU7" s="1075" t="s">
        <v>223</v>
      </c>
      <c r="BV7" s="1077"/>
      <c r="BW7" s="1735">
        <v>4213769</v>
      </c>
      <c r="BX7" s="1733" t="s">
        <v>1369</v>
      </c>
      <c r="BZ7" s="1311">
        <v>64237511</v>
      </c>
      <c r="CA7" s="1075" t="s">
        <v>257</v>
      </c>
    </row>
    <row customHeight="1" ht="11.25">
      <c r="A8" s="1081" t="s">
        <v>1370</v>
      </c>
      <c r="B8" s="1082">
        <v>2006</v>
      </c>
      <c r="E8" s="1083" t="s">
        <v>1371</v>
      </c>
      <c r="F8" s="1100"/>
      <c r="I8" s="1083" t="s">
        <v>91</v>
      </c>
      <c r="J8" s="1083" t="s">
        <v>1372</v>
      </c>
      <c r="N8" s="1171" t="s">
        <v>1373</v>
      </c>
      <c r="O8" s="1083" t="s">
        <v>1374</v>
      </c>
      <c r="V8" s="370" t="s">
        <v>91</v>
      </c>
      <c r="W8" s="1091"/>
      <c r="X8" s="1082" t="s">
        <v>182</v>
      </c>
      <c r="Y8" s="1082" t="s">
        <v>1321</v>
      </c>
      <c r="Z8" s="1098"/>
      <c r="AA8" s="1101"/>
      <c r="AK8" s="1083" t="s">
        <v>1375</v>
      </c>
      <c r="AP8" s="1094" t="s">
        <v>182</v>
      </c>
      <c r="AQ8" s="1095" t="s">
        <v>182</v>
      </c>
      <c r="AU8" s="1128" t="s">
        <v>1376</v>
      </c>
      <c r="AW8" s="1128" t="s">
        <v>1377</v>
      </c>
      <c r="AX8" s="1128" t="s">
        <v>1377</v>
      </c>
      <c r="AZ8" s="1128" t="s">
        <v>1378</v>
      </c>
      <c r="BB8" s="1128" t="s">
        <v>1379</v>
      </c>
      <c r="BC8" s="1128" t="s">
        <v>1329</v>
      </c>
      <c r="BE8" s="1128">
        <v>2006</v>
      </c>
      <c r="BF8" s="1128" t="s">
        <v>1380</v>
      </c>
      <c r="BH8" s="1075" t="s">
        <v>1381</v>
      </c>
      <c r="BJ8" s="1075" t="s">
        <v>1382</v>
      </c>
      <c r="BL8" s="1075" t="s">
        <v>1382</v>
      </c>
      <c r="BN8" s="1075" t="s">
        <v>1383</v>
      </c>
      <c r="BQ8" s="1311">
        <v>4213776</v>
      </c>
      <c r="BR8" s="1075" t="s">
        <v>164</v>
      </c>
      <c r="BS8" s="1459"/>
      <c r="BT8" s="1311">
        <v>64236874</v>
      </c>
      <c r="BU8" s="1325" t="s">
        <v>1384</v>
      </c>
      <c r="BV8" s="1077"/>
      <c r="BW8" s="1735">
        <v>4213770</v>
      </c>
      <c r="BX8" s="1736" t="s">
        <v>1385</v>
      </c>
      <c r="BZ8" s="1311">
        <v>64237512</v>
      </c>
      <c r="CA8" s="1075" t="s">
        <v>248</v>
      </c>
    </row>
    <row customHeight="1" ht="11.25">
      <c r="A9" s="1081" t="s">
        <v>1386</v>
      </c>
      <c r="B9" s="1082">
        <v>2007</v>
      </c>
      <c r="E9" s="1083" t="s">
        <v>1387</v>
      </c>
      <c r="F9" s="1100"/>
      <c r="G9" s="1074" t="s">
        <v>1388</v>
      </c>
      <c r="H9" s="1074" t="s">
        <v>1389</v>
      </c>
      <c r="I9" s="1083" t="s">
        <v>110</v>
      </c>
      <c r="O9" s="1083" t="s">
        <v>1390</v>
      </c>
      <c r="V9" s="370" t="s">
        <v>110</v>
      </c>
      <c r="W9" s="1091"/>
      <c r="X9" s="1082" t="s">
        <v>188</v>
      </c>
      <c r="Y9" s="1082" t="s">
        <v>1227</v>
      </c>
      <c r="Z9" s="1098">
        <v>1</v>
      </c>
      <c r="AA9" s="1101"/>
      <c r="AK9" s="1083" t="s">
        <v>1391</v>
      </c>
      <c r="AP9" s="1094" t="s">
        <v>1392</v>
      </c>
      <c r="AQ9" s="1095" t="s">
        <v>1392</v>
      </c>
      <c r="AW9" s="1128" t="s">
        <v>1393</v>
      </c>
      <c r="AX9" s="1128" t="s">
        <v>1393</v>
      </c>
      <c r="AZ9" s="1128" t="s">
        <v>1394</v>
      </c>
      <c r="BB9" s="1128" t="s">
        <v>1395</v>
      </c>
      <c r="BC9" s="1128" t="s">
        <v>1329</v>
      </c>
      <c r="BE9" s="1128">
        <v>2007</v>
      </c>
      <c r="BF9" s="1128" t="s">
        <v>1396</v>
      </c>
      <c r="BH9" s="1075" t="s">
        <v>1397</v>
      </c>
      <c r="BJ9" s="1075" t="s">
        <v>1398</v>
      </c>
      <c r="BL9" s="1075" t="s">
        <v>1398</v>
      </c>
      <c r="BN9" s="1075" t="s">
        <v>1399</v>
      </c>
      <c r="BQ9" s="1311">
        <v>4213777</v>
      </c>
      <c r="BR9" s="1075" t="s">
        <v>170</v>
      </c>
      <c r="BS9" s="1459"/>
      <c r="BT9" s="1311">
        <v>64236875</v>
      </c>
      <c r="BU9" s="1075" t="s">
        <v>228</v>
      </c>
      <c r="BV9" s="1077"/>
      <c r="BW9" s="1730"/>
      <c r="BX9" s="1730"/>
    </row>
    <row customHeight="1" ht="11.25">
      <c r="A10" s="1081" t="s">
        <v>1400</v>
      </c>
      <c r="B10" s="1082">
        <v>2008</v>
      </c>
      <c r="E10" s="1083" t="s">
        <v>1401</v>
      </c>
      <c r="F10" s="1100"/>
      <c r="G10" s="1083" t="s">
        <v>1402</v>
      </c>
      <c r="H10" s="1083" t="s">
        <v>1403</v>
      </c>
      <c r="I10" s="1083" t="s">
        <v>146</v>
      </c>
      <c r="J10" s="1074" t="s">
        <v>1404</v>
      </c>
      <c r="K10" s="1074" t="s">
        <v>1405</v>
      </c>
      <c r="O10" s="1083" t="s">
        <v>1406</v>
      </c>
      <c r="V10" s="371" t="s">
        <v>146</v>
      </c>
      <c r="W10" s="1104"/>
      <c r="X10" s="1104" t="s">
        <v>1407</v>
      </c>
      <c r="Y10" s="1105" t="s">
        <v>1408</v>
      </c>
      <c r="Z10" s="1098"/>
      <c r="AP10" s="1094" t="s">
        <v>1407</v>
      </c>
      <c r="AQ10" s="1095" t="s">
        <v>1407</v>
      </c>
      <c r="AW10" s="1128" t="s">
        <v>1409</v>
      </c>
      <c r="AX10" s="1128" t="s">
        <v>1409</v>
      </c>
      <c r="AZ10" s="1128" t="s">
        <v>1410</v>
      </c>
      <c r="BB10" s="1128" t="s">
        <v>1411</v>
      </c>
      <c r="BC10" s="1128" t="s">
        <v>1329</v>
      </c>
      <c r="BE10" s="1128">
        <v>2008</v>
      </c>
      <c r="BF10" s="1128" t="s">
        <v>1412</v>
      </c>
      <c r="BH10" s="1075" t="s">
        <v>1413</v>
      </c>
      <c r="BJ10" s="1075" t="s">
        <v>1414</v>
      </c>
      <c r="BL10" s="1075" t="s">
        <v>1414</v>
      </c>
      <c r="BN10" s="1075" t="s">
        <v>1415</v>
      </c>
      <c r="BQ10" s="1311">
        <v>4213778</v>
      </c>
      <c r="BR10" s="1075" t="s">
        <v>176</v>
      </c>
      <c r="BS10" s="1459"/>
      <c r="BT10" s="1311">
        <v>64236876</v>
      </c>
      <c r="BU10" s="1075" t="s">
        <v>208</v>
      </c>
      <c r="BV10" s="1077"/>
      <c r="BW10" s="1730"/>
      <c r="BX10" s="1730"/>
    </row>
    <row customHeight="1" ht="11.25">
      <c r="A11" s="1081" t="s">
        <v>1416</v>
      </c>
      <c r="B11" s="1082">
        <v>2009</v>
      </c>
      <c r="E11" s="1083" t="s">
        <v>1417</v>
      </c>
      <c r="F11" s="1100"/>
      <c r="G11" s="1083" t="s">
        <v>1418</v>
      </c>
      <c r="H11" s="1083" t="s">
        <v>1419</v>
      </c>
      <c r="I11" s="1083" t="s">
        <v>147</v>
      </c>
      <c r="J11" s="1084" t="s">
        <v>1420</v>
      </c>
      <c r="K11" s="1106" t="s">
        <v>1421</v>
      </c>
      <c r="O11" s="1084" t="s">
        <v>1422</v>
      </c>
      <c r="V11" s="370" t="s">
        <v>147</v>
      </c>
      <c r="W11" s="261"/>
      <c r="X11" s="1091" t="s">
        <v>1392</v>
      </c>
      <c r="Y11" s="1082" t="s">
        <v>1423</v>
      </c>
      <c r="Z11" s="1098"/>
      <c r="AP11" s="1094" t="s">
        <v>188</v>
      </c>
      <c r="AQ11" s="1096" t="s">
        <v>188</v>
      </c>
      <c r="AW11" s="1128" t="s">
        <v>1424</v>
      </c>
      <c r="AX11" s="1128" t="s">
        <v>1424</v>
      </c>
      <c r="AZ11" s="1128" t="s">
        <v>1425</v>
      </c>
      <c r="BB11" s="1128" t="s">
        <v>1426</v>
      </c>
      <c r="BC11" s="1128" t="s">
        <v>1329</v>
      </c>
      <c r="BE11" s="1128">
        <v>2009</v>
      </c>
      <c r="BF11" s="1128" t="s">
        <v>1427</v>
      </c>
      <c r="BH11" s="1075" t="s">
        <v>1428</v>
      </c>
      <c r="BJ11" s="1075" t="s">
        <v>1397</v>
      </c>
      <c r="BL11" s="1075" t="s">
        <v>1397</v>
      </c>
      <c r="BN11" s="1075" t="s">
        <v>1429</v>
      </c>
      <c r="BQ11" s="1311">
        <v>4213780</v>
      </c>
      <c r="BR11" s="1075" t="s">
        <v>182</v>
      </c>
      <c r="BS11" s="1459"/>
      <c r="BW11" s="1730"/>
      <c r="BX11" s="1730"/>
    </row>
    <row customHeight="1" ht="11.25">
      <c r="A12" s="1081" t="s">
        <v>1430</v>
      </c>
      <c r="B12" s="1082">
        <v>2010</v>
      </c>
      <c r="E12" s="1083" t="s">
        <v>1431</v>
      </c>
      <c r="F12" s="1100"/>
      <c r="G12" s="1083" t="s">
        <v>1419</v>
      </c>
      <c r="I12" s="1083" t="s">
        <v>148</v>
      </c>
      <c r="J12" s="1084" t="s">
        <v>1432</v>
      </c>
      <c r="K12" s="1106" t="s">
        <v>1433</v>
      </c>
      <c r="O12" s="1084" t="s">
        <v>509</v>
      </c>
      <c r="V12" s="370" t="s">
        <v>148</v>
      </c>
      <c r="W12" s="1096"/>
      <c r="X12" s="1091" t="s">
        <v>1434</v>
      </c>
      <c r="Y12" s="1082" t="s">
        <v>1227</v>
      </c>
      <c r="AP12" s="1094"/>
      <c r="AW12" s="1128" t="s">
        <v>147</v>
      </c>
      <c r="AX12" s="1128" t="s">
        <v>147</v>
      </c>
      <c r="AZ12" s="1128" t="s">
        <v>1435</v>
      </c>
      <c r="BB12" s="1128" t="s">
        <v>1436</v>
      </c>
      <c r="BC12" s="1128" t="s">
        <v>1329</v>
      </c>
      <c r="BE12" s="1128">
        <v>2010</v>
      </c>
      <c r="BF12" s="1128" t="s">
        <v>1437</v>
      </c>
      <c r="BH12" s="1075" t="s">
        <v>1438</v>
      </c>
      <c r="BJ12" s="1075" t="s">
        <v>1439</v>
      </c>
      <c r="BL12" s="1075" t="s">
        <v>1439</v>
      </c>
      <c r="BN12" s="1075" t="s">
        <v>1440</v>
      </c>
      <c r="BQ12" s="1311">
        <v>4213779</v>
      </c>
      <c r="BR12" s="1075" t="s">
        <v>1392</v>
      </c>
      <c r="BS12" s="1459"/>
      <c r="BT12" s="1077"/>
      <c r="BU12" s="1077"/>
      <c r="BV12" s="1077"/>
      <c r="BW12" s="1730"/>
      <c r="BX12" s="1730"/>
    </row>
    <row customHeight="1" ht="11.25">
      <c r="A13" s="1081" t="s">
        <v>1441</v>
      </c>
      <c r="B13" s="1082">
        <v>2011</v>
      </c>
      <c r="E13" s="1083" t="s">
        <v>1442</v>
      </c>
      <c r="F13" s="1100"/>
      <c r="I13" s="1083" t="s">
        <v>149</v>
      </c>
      <c r="K13" s="1106" t="s">
        <v>1391</v>
      </c>
      <c r="V13" s="370" t="s">
        <v>149</v>
      </c>
      <c r="W13" s="1096"/>
      <c r="X13" s="1096"/>
      <c r="Y13" s="1096"/>
      <c r="AW13" s="1128" t="s">
        <v>148</v>
      </c>
      <c r="AX13" s="1128" t="s">
        <v>148</v>
      </c>
      <c r="BB13" s="1128" t="s">
        <v>1443</v>
      </c>
      <c r="BC13" s="1128" t="s">
        <v>1444</v>
      </c>
      <c r="BE13" s="1128">
        <v>2011</v>
      </c>
      <c r="BF13" s="1128" t="s">
        <v>1445</v>
      </c>
      <c r="BH13" s="1075" t="s">
        <v>1446</v>
      </c>
      <c r="BJ13" s="1075" t="s">
        <v>1428</v>
      </c>
      <c r="BL13" s="1075" t="s">
        <v>1428</v>
      </c>
      <c r="BN13" s="1075" t="s">
        <v>1447</v>
      </c>
      <c r="BQ13" s="1311">
        <v>4213783</v>
      </c>
      <c r="BR13" s="1075" t="s">
        <v>1407</v>
      </c>
      <c r="BS13" s="1459"/>
      <c r="BT13" s="1077"/>
      <c r="BU13" s="1077"/>
      <c r="BV13" s="1077"/>
      <c r="BW13" s="1734"/>
      <c r="BX13" s="1730"/>
    </row>
    <row customHeight="1" ht="11.25">
      <c r="A14" s="1081" t="s">
        <v>1448</v>
      </c>
      <c r="B14" s="1082">
        <v>2012</v>
      </c>
      <c r="I14" s="1083" t="s">
        <v>150</v>
      </c>
      <c r="J14" s="1074" t="s">
        <v>1449</v>
      </c>
      <c r="N14" s="1074" t="s">
        <v>1450</v>
      </c>
      <c r="V14" s="1090">
        <v>13</v>
      </c>
      <c r="W14" s="1091"/>
      <c r="X14" s="1091" t="s">
        <v>1261</v>
      </c>
      <c r="Y14" s="1082" t="s">
        <v>1227</v>
      </c>
      <c r="AW14" s="1128" t="s">
        <v>149</v>
      </c>
      <c r="AX14" s="1128" t="s">
        <v>149</v>
      </c>
      <c r="AZ14" s="1074" t="s">
        <v>1451</v>
      </c>
      <c r="BB14" s="1128" t="s">
        <v>1452</v>
      </c>
      <c r="BC14" s="1128" t="s">
        <v>1444</v>
      </c>
      <c r="BE14" s="1128">
        <v>2012</v>
      </c>
      <c r="BH14" s="1075" t="s">
        <v>1368</v>
      </c>
      <c r="BJ14" s="1229" t="s">
        <v>1453</v>
      </c>
      <c r="BL14" s="1229" t="s">
        <v>1453</v>
      </c>
      <c r="BN14" s="1075" t="s">
        <v>1454</v>
      </c>
      <c r="BQ14" s="1311">
        <v>4213782</v>
      </c>
      <c r="BR14" s="1075" t="s">
        <v>188</v>
      </c>
      <c r="BS14" s="1459"/>
      <c r="BT14" s="1077"/>
      <c r="BU14" s="1077"/>
      <c r="BV14" s="1077"/>
      <c r="BW14" s="1734"/>
      <c r="BX14" s="1730"/>
    </row>
    <row customHeight="1" ht="19.5">
      <c r="A15" s="1081" t="s">
        <v>1455</v>
      </c>
      <c r="B15" s="1082">
        <v>2013</v>
      </c>
      <c r="E15" s="1738" t="s">
        <v>1456</v>
      </c>
      <c r="G15" s="1074" t="s">
        <v>1457</v>
      </c>
      <c r="H15" s="1074" t="s">
        <v>1458</v>
      </c>
      <c r="I15" s="1085" t="s">
        <v>151</v>
      </c>
      <c r="J15" s="1096" t="s">
        <v>576</v>
      </c>
      <c r="N15" s="1166" t="s">
        <v>1459</v>
      </c>
      <c r="X15" s="1094"/>
      <c r="AW15" s="1128" t="s">
        <v>150</v>
      </c>
      <c r="AX15" s="1128" t="s">
        <v>150</v>
      </c>
      <c r="AZ15" s="1128" t="s">
        <v>1378</v>
      </c>
      <c r="BB15" s="1128" t="s">
        <v>1460</v>
      </c>
      <c r="BC15" s="1128" t="s">
        <v>1444</v>
      </c>
      <c r="BE15" s="1128">
        <v>2013</v>
      </c>
      <c r="BH15" s="1075" t="s">
        <v>1383</v>
      </c>
      <c r="BJ15" s="1229" t="s">
        <v>1461</v>
      </c>
      <c r="BL15" s="1229" t="s">
        <v>1461</v>
      </c>
      <c r="BN15" s="1075" t="s">
        <v>1462</v>
      </c>
      <c r="BR15" s="1077"/>
      <c r="BS15" s="1461"/>
      <c r="BT15" s="1077"/>
      <c r="BU15" s="1077"/>
      <c r="BV15" s="1077"/>
      <c r="BW15" s="1734"/>
      <c r="BX15" s="1730"/>
    </row>
    <row customHeight="1" ht="21">
      <c r="A16" s="1913" t="s">
        <v>1463</v>
      </c>
      <c r="B16" s="1082">
        <v>2014</v>
      </c>
      <c r="E16" s="1739" t="s">
        <v>1464</v>
      </c>
      <c r="G16" s="1083" t="s">
        <v>1465</v>
      </c>
      <c r="H16" s="1083" t="s">
        <v>1466</v>
      </c>
      <c r="I16" s="1085" t="s">
        <v>1467</v>
      </c>
      <c r="J16" s="1096" t="s">
        <v>549</v>
      </c>
      <c r="N16" s="1166" t="s">
        <v>1468</v>
      </c>
      <c r="AW16" s="1128" t="s">
        <v>151</v>
      </c>
      <c r="AX16" s="1128" t="s">
        <v>151</v>
      </c>
      <c r="AZ16" s="1128" t="s">
        <v>1394</v>
      </c>
      <c r="BB16" s="1128" t="s">
        <v>1469</v>
      </c>
      <c r="BC16" s="1128" t="s">
        <v>1444</v>
      </c>
      <c r="BE16" s="1128">
        <v>2014</v>
      </c>
      <c r="BH16" s="1075" t="s">
        <v>1399</v>
      </c>
      <c r="BJ16" s="1229" t="s">
        <v>1470</v>
      </c>
      <c r="BL16" s="1229" t="s">
        <v>1470</v>
      </c>
      <c r="BN16" s="1075" t="s">
        <v>1471</v>
      </c>
      <c r="BR16" s="1077"/>
      <c r="BS16" s="1461"/>
      <c r="BT16" s="1077"/>
      <c r="BU16" s="1077"/>
      <c r="BV16" s="1077"/>
      <c r="BW16" s="1734"/>
      <c r="BX16" s="1730"/>
    </row>
    <row customHeight="1" ht="21">
      <c r="A17" s="1081" t="s">
        <v>1472</v>
      </c>
      <c r="B17" s="1082">
        <v>2015</v>
      </c>
      <c r="G17" s="1083" t="s">
        <v>1419</v>
      </c>
      <c r="H17" s="1083" t="s">
        <v>1419</v>
      </c>
      <c r="I17" s="1083" t="s">
        <v>1473</v>
      </c>
      <c r="N17" s="1166" t="s">
        <v>1474</v>
      </c>
      <c r="X17" s="1094"/>
      <c r="AW17" s="1128" t="s">
        <v>1467</v>
      </c>
      <c r="AX17" s="1128" t="s">
        <v>1467</v>
      </c>
      <c r="AZ17" s="1128" t="s">
        <v>1475</v>
      </c>
      <c r="BB17" s="1128" t="s">
        <v>1476</v>
      </c>
      <c r="BC17" s="1128" t="s">
        <v>1329</v>
      </c>
      <c r="BE17" s="1128">
        <v>2015</v>
      </c>
      <c r="BH17" s="1075" t="s">
        <v>1415</v>
      </c>
      <c r="BJ17" s="1229" t="s">
        <v>1477</v>
      </c>
      <c r="BL17" s="1229" t="s">
        <v>1477</v>
      </c>
      <c r="BN17" s="1075" t="s">
        <v>1478</v>
      </c>
      <c r="BR17" s="1074" t="s">
        <v>1272</v>
      </c>
      <c r="BS17" s="1458"/>
      <c r="BU17" s="1074" t="s">
        <v>1479</v>
      </c>
      <c r="BV17" s="1077"/>
      <c r="BW17" s="1730"/>
      <c r="BX17" s="1732" t="s">
        <v>1480</v>
      </c>
      <c r="CA17" s="1074" t="s">
        <v>1481</v>
      </c>
      <c r="CD17" s="1074" t="s">
        <v>1482</v>
      </c>
    </row>
    <row customHeight="1" ht="21">
      <c r="A18" s="1081" t="s">
        <v>1483</v>
      </c>
      <c r="B18" s="1082">
        <v>2016</v>
      </c>
      <c r="I18" s="1083" t="s">
        <v>1484</v>
      </c>
      <c r="N18" s="1166" t="s">
        <v>1485</v>
      </c>
      <c r="X18" s="1094"/>
      <c r="AW18" s="1128" t="s">
        <v>1473</v>
      </c>
      <c r="AX18" s="1128" t="s">
        <v>1473</v>
      </c>
      <c r="BB18" s="1128" t="s">
        <v>1486</v>
      </c>
      <c r="BC18" s="1128" t="s">
        <v>1329</v>
      </c>
      <c r="BE18" s="1128">
        <v>2016</v>
      </c>
      <c r="BH18" s="1075" t="s">
        <v>1429</v>
      </c>
      <c r="BJ18" s="1229" t="s">
        <v>1487</v>
      </c>
      <c r="BL18" s="1229" t="s">
        <v>1487</v>
      </c>
      <c r="BN18" s="1075" t="s">
        <v>1488</v>
      </c>
      <c r="BQ18" s="1462" t="s">
        <v>1302</v>
      </c>
      <c r="BR18" s="1167" t="s">
        <v>1303</v>
      </c>
      <c r="BS18" s="260"/>
      <c r="BT18" s="1462" t="s">
        <v>1489</v>
      </c>
      <c r="BU18" s="1167" t="s">
        <v>1490</v>
      </c>
      <c r="BV18" s="1077"/>
      <c r="BW18" s="1737" t="s">
        <v>1491</v>
      </c>
      <c r="BX18" s="1731" t="s">
        <v>1492</v>
      </c>
      <c r="BZ18" s="1462" t="s">
        <v>1493</v>
      </c>
      <c r="CA18" s="1167" t="s">
        <v>1494</v>
      </c>
      <c r="CC18" s="1462" t="s">
        <v>1495</v>
      </c>
      <c r="CD18" s="1167" t="s">
        <v>1496</v>
      </c>
    </row>
    <row customHeight="1" ht="21">
      <c r="A19" s="1913" t="s">
        <v>1497</v>
      </c>
      <c r="B19" s="1082">
        <v>2017</v>
      </c>
      <c r="I19" s="1083" t="s">
        <v>1498</v>
      </c>
      <c r="N19" s="1166" t="s">
        <v>1499</v>
      </c>
      <c r="X19" s="1094"/>
      <c r="AW19" s="1128" t="s">
        <v>1484</v>
      </c>
      <c r="AX19" s="1128" t="s">
        <v>1484</v>
      </c>
      <c r="AZ19" s="1074" t="s">
        <v>1500</v>
      </c>
      <c r="BB19" s="1128" t="s">
        <v>1501</v>
      </c>
      <c r="BC19" s="1128" t="s">
        <v>1329</v>
      </c>
      <c r="BE19" s="1128">
        <v>2017</v>
      </c>
      <c r="BH19" s="1075" t="s">
        <v>1502</v>
      </c>
      <c r="BJ19" s="1229" t="s">
        <v>1503</v>
      </c>
      <c r="BL19" s="1229" t="s">
        <v>1503</v>
      </c>
      <c r="BQ19" s="1311">
        <v>4190064</v>
      </c>
      <c r="BR19" s="1075" t="s">
        <v>1504</v>
      </c>
      <c r="BS19" s="1459"/>
      <c r="BT19" s="1311">
        <v>4189671</v>
      </c>
      <c r="BU19" s="1075" t="s">
        <v>1505</v>
      </c>
      <c r="BV19" s="1077"/>
      <c r="BW19" s="1735">
        <v>4189706</v>
      </c>
      <c r="BX19" s="1733" t="s">
        <v>1506</v>
      </c>
      <c r="BZ19" s="1311">
        <v>4189714</v>
      </c>
      <c r="CA19" s="1075" t="s">
        <v>1507</v>
      </c>
      <c r="CC19" s="1311">
        <v>4189708</v>
      </c>
      <c r="CD19" s="1075" t="s">
        <v>1508</v>
      </c>
    </row>
    <row customHeight="1" ht="21">
      <c r="A20" s="1081" t="s">
        <v>1509</v>
      </c>
      <c r="B20" s="1082">
        <v>2018</v>
      </c>
      <c r="I20" s="1083" t="s">
        <v>1510</v>
      </c>
      <c r="N20" s="1166" t="s">
        <v>1511</v>
      </c>
      <c r="AW20" s="1128" t="s">
        <v>1498</v>
      </c>
      <c r="AX20" s="1128" t="s">
        <v>1498</v>
      </c>
      <c r="AZ20" s="1128" t="s">
        <v>1512</v>
      </c>
      <c r="BB20" s="1128" t="s">
        <v>1513</v>
      </c>
      <c r="BC20" s="1128" t="s">
        <v>1444</v>
      </c>
      <c r="BE20" s="1128">
        <v>2018</v>
      </c>
      <c r="BH20" s="1075" t="s">
        <v>1440</v>
      </c>
      <c r="BJ20" s="1075" t="s">
        <v>1368</v>
      </c>
      <c r="BL20" s="1075" t="s">
        <v>1368</v>
      </c>
      <c r="BQ20" s="1311">
        <v>4190065</v>
      </c>
      <c r="BR20" s="1075" t="s">
        <v>1514</v>
      </c>
      <c r="BS20" s="1459"/>
      <c r="BT20" s="1311">
        <v>4189672</v>
      </c>
      <c r="BU20" s="1075" t="s">
        <v>1515</v>
      </c>
      <c r="BV20" s="1077"/>
      <c r="BW20" s="1735">
        <v>4189705</v>
      </c>
      <c r="BX20" s="1733" t="s">
        <v>1516</v>
      </c>
      <c r="BZ20" s="1311">
        <v>4189713</v>
      </c>
      <c r="CA20" s="1075" t="s">
        <v>1516</v>
      </c>
      <c r="CC20" s="1311">
        <v>4189709</v>
      </c>
      <c r="CD20" s="1075" t="s">
        <v>1517</v>
      </c>
    </row>
    <row customHeight="1" ht="21">
      <c r="A21" s="1081" t="s">
        <v>1518</v>
      </c>
      <c r="B21" s="1082">
        <v>2019</v>
      </c>
      <c r="I21" s="1083" t="s">
        <v>1519</v>
      </c>
      <c r="N21" s="1166" t="s">
        <v>1520</v>
      </c>
      <c r="AW21" s="1128" t="s">
        <v>1510</v>
      </c>
      <c r="AX21" s="1128" t="s">
        <v>1510</v>
      </c>
      <c r="AZ21" s="1128" t="s">
        <v>1521</v>
      </c>
      <c r="BB21" s="1128" t="s">
        <v>1522</v>
      </c>
      <c r="BC21" s="1128" t="s">
        <v>1329</v>
      </c>
      <c r="BE21" s="1128">
        <v>2019</v>
      </c>
      <c r="BH21" s="1075" t="s">
        <v>1447</v>
      </c>
      <c r="BJ21" s="1075" t="s">
        <v>1383</v>
      </c>
      <c r="BL21" s="1075" t="s">
        <v>1383</v>
      </c>
      <c r="BQ21" s="1311">
        <v>4190066</v>
      </c>
      <c r="BR21" s="1075" t="s">
        <v>1523</v>
      </c>
      <c r="BS21" s="1459"/>
      <c r="BT21" s="1311">
        <v>4189673</v>
      </c>
      <c r="BU21" s="1075" t="s">
        <v>1524</v>
      </c>
      <c r="BV21" s="1077"/>
      <c r="BW21" s="1735">
        <v>4189707</v>
      </c>
      <c r="BX21" s="1733" t="s">
        <v>1525</v>
      </c>
      <c r="BZ21" s="1311">
        <v>4189712</v>
      </c>
      <c r="CA21" s="1075" t="s">
        <v>263</v>
      </c>
      <c r="CC21" s="1311">
        <v>4189710</v>
      </c>
      <c r="CD21" s="1075" t="s">
        <v>1526</v>
      </c>
    </row>
    <row customHeight="1" ht="21">
      <c r="A22" s="1081" t="s">
        <v>1527</v>
      </c>
      <c r="B22" s="1082">
        <v>2020</v>
      </c>
      <c r="N22" s="1166" t="s">
        <v>1528</v>
      </c>
      <c r="AW22" s="1128" t="s">
        <v>1519</v>
      </c>
      <c r="AX22" s="1128" t="s">
        <v>1519</v>
      </c>
      <c r="AZ22" s="1128" t="s">
        <v>1529</v>
      </c>
      <c r="BB22" s="1128" t="s">
        <v>1530</v>
      </c>
      <c r="BC22" s="1128" t="s">
        <v>1329</v>
      </c>
      <c r="BE22" s="1128">
        <v>2020</v>
      </c>
      <c r="BH22" s="1075" t="s">
        <v>1454</v>
      </c>
      <c r="BJ22" s="1075" t="s">
        <v>1399</v>
      </c>
      <c r="BL22" s="1075" t="s">
        <v>1399</v>
      </c>
      <c r="BQ22" s="1311">
        <v>4190067</v>
      </c>
      <c r="BR22" s="1075" t="s">
        <v>1531</v>
      </c>
      <c r="BS22" s="1459"/>
      <c r="BT22" s="1311">
        <v>4189674</v>
      </c>
      <c r="BU22" s="1075" t="s">
        <v>1532</v>
      </c>
      <c r="BV22" s="1077"/>
      <c r="BW22" s="1077"/>
      <c r="CC22" s="1311">
        <v>4189711</v>
      </c>
      <c r="CD22" s="1075" t="s">
        <v>283</v>
      </c>
    </row>
    <row customHeight="1" ht="21">
      <c r="A23" s="1081" t="s">
        <v>1533</v>
      </c>
      <c r="B23" s="1082">
        <v>2021</v>
      </c>
      <c r="AW23" s="1128" t="s">
        <v>1534</v>
      </c>
      <c r="AX23" s="1128" t="s">
        <v>1534</v>
      </c>
      <c r="AZ23" s="1128" t="s">
        <v>1535</v>
      </c>
      <c r="BB23" s="1128" t="s">
        <v>1536</v>
      </c>
      <c r="BC23" s="1128" t="s">
        <v>1238</v>
      </c>
      <c r="BE23" s="1128">
        <v>2021</v>
      </c>
      <c r="BH23" s="1075" t="s">
        <v>1462</v>
      </c>
      <c r="BJ23" s="1075" t="s">
        <v>1415</v>
      </c>
      <c r="BL23" s="1075" t="s">
        <v>1415</v>
      </c>
      <c r="BQ23" s="1311">
        <v>4190068</v>
      </c>
      <c r="BR23" s="1075" t="s">
        <v>1537</v>
      </c>
      <c r="BS23" s="1459"/>
      <c r="BT23" s="1311">
        <v>4189675</v>
      </c>
      <c r="BU23" s="1075" t="s">
        <v>1538</v>
      </c>
      <c r="BV23" s="1077"/>
      <c r="BW23" s="1077"/>
      <c r="CC23" s="1311">
        <v>5110778</v>
      </c>
      <c r="CD23" s="1075" t="s">
        <v>1539</v>
      </c>
    </row>
    <row customHeight="1" ht="21">
      <c r="A24" s="1081" t="s">
        <v>1540</v>
      </c>
      <c r="B24" s="1082">
        <v>2022</v>
      </c>
      <c r="AW24" s="1128" t="s">
        <v>1541</v>
      </c>
      <c r="AX24" s="1128" t="s">
        <v>1541</v>
      </c>
      <c r="AZ24" s="1128" t="s">
        <v>1542</v>
      </c>
      <c r="BB24" s="1128" t="s">
        <v>1543</v>
      </c>
      <c r="BC24" s="1128" t="s">
        <v>1544</v>
      </c>
      <c r="BE24" s="1128">
        <v>2022</v>
      </c>
      <c r="BH24" s="1075" t="s">
        <v>1471</v>
      </c>
      <c r="BJ24" s="1075" t="s">
        <v>1429</v>
      </c>
      <c r="BL24" s="1075" t="s">
        <v>1429</v>
      </c>
      <c r="BQ24" s="1311">
        <v>4190069</v>
      </c>
      <c r="BR24" s="1075" t="s">
        <v>1545</v>
      </c>
      <c r="BS24" s="1459"/>
      <c r="BT24" s="1311">
        <v>4189676</v>
      </c>
      <c r="BU24" s="1075" t="s">
        <v>1546</v>
      </c>
      <c r="BV24" s="1077"/>
      <c r="BW24" s="1077"/>
      <c r="CC24" s="1311">
        <v>25575374</v>
      </c>
      <c r="CD24" s="1075" t="s">
        <v>1547</v>
      </c>
    </row>
    <row customHeight="1" ht="11.25">
      <c r="A25" s="1081" t="s">
        <v>1548</v>
      </c>
      <c r="B25" s="1082">
        <v>2023</v>
      </c>
      <c r="AW25" s="1128" t="s">
        <v>1549</v>
      </c>
      <c r="AX25" s="1128" t="s">
        <v>1549</v>
      </c>
      <c r="AZ25" s="1128" t="s">
        <v>1550</v>
      </c>
      <c r="BB25" s="1128" t="s">
        <v>1551</v>
      </c>
      <c r="BC25" s="1128" t="s">
        <v>1544</v>
      </c>
      <c r="BE25" s="1128">
        <v>2023</v>
      </c>
      <c r="BH25" s="1075" t="s">
        <v>1478</v>
      </c>
      <c r="BJ25" s="1075" t="s">
        <v>1502</v>
      </c>
      <c r="BL25" s="1075" t="s">
        <v>1502</v>
      </c>
      <c r="BQ25" s="1311">
        <v>4190070</v>
      </c>
      <c r="BR25" s="1075" t="s">
        <v>1552</v>
      </c>
      <c r="BS25" s="1459"/>
      <c r="BT25" s="1311">
        <v>4189677</v>
      </c>
      <c r="BU25" s="1075" t="s">
        <v>1553</v>
      </c>
      <c r="BV25" s="1077"/>
      <c r="BW25" s="1077"/>
    </row>
    <row customHeight="1" ht="11.25">
      <c r="A26" s="1081" t="s">
        <v>1554</v>
      </c>
      <c r="B26" s="1082">
        <v>2024</v>
      </c>
      <c r="J26" s="1771" t="s">
        <v>1555</v>
      </c>
      <c r="AX26" s="1128" t="s">
        <v>1556</v>
      </c>
      <c r="AZ26" s="1128" t="s">
        <v>1422</v>
      </c>
      <c r="BB26" s="1128" t="s">
        <v>1557</v>
      </c>
      <c r="BC26" s="1128" t="s">
        <v>1544</v>
      </c>
      <c r="BE26" s="1128">
        <v>2024</v>
      </c>
      <c r="BH26" s="1075" t="s">
        <v>1488</v>
      </c>
      <c r="BJ26" s="1075" t="s">
        <v>1440</v>
      </c>
      <c r="BL26" s="1075" t="s">
        <v>1440</v>
      </c>
      <c r="BQ26" s="1311">
        <v>4190071</v>
      </c>
      <c r="BR26" s="1075" t="s">
        <v>1558</v>
      </c>
      <c r="BS26" s="1459"/>
      <c r="BV26" s="1077"/>
      <c r="BW26" s="1077"/>
    </row>
    <row customHeight="1" ht="11.25">
      <c r="A27" s="1081" t="s">
        <v>1559</v>
      </c>
      <c r="B27" s="1082">
        <v>2025</v>
      </c>
      <c r="J27" s="162" t="s">
        <v>505</v>
      </c>
      <c r="AX27" s="1128" t="s">
        <v>1560</v>
      </c>
      <c r="BB27" s="1128" t="s">
        <v>1561</v>
      </c>
      <c r="BC27" s="1128" t="s">
        <v>1544</v>
      </c>
      <c r="BE27" s="1128">
        <v>2025</v>
      </c>
      <c r="BH27" s="1077" t="s">
        <v>24</v>
      </c>
      <c r="BJ27" s="1075" t="s">
        <v>1447</v>
      </c>
      <c r="BL27" s="1075" t="s">
        <v>1447</v>
      </c>
      <c r="BN27" s="1077" t="s">
        <v>24</v>
      </c>
      <c r="BQ27" s="1311">
        <v>4190072</v>
      </c>
      <c r="BR27" s="1075" t="s">
        <v>1562</v>
      </c>
      <c r="BS27" s="1459"/>
      <c r="BV27" s="1077"/>
      <c r="BW27" s="1077"/>
    </row>
    <row customHeight="1" ht="11.25">
      <c r="A28" s="1081" t="s">
        <v>1563</v>
      </c>
      <c r="D28" s="1108"/>
      <c r="E28" s="1109"/>
      <c r="F28" s="1109"/>
      <c r="H28" s="1110" t="s">
        <v>1564</v>
      </c>
      <c r="AX28" s="1128" t="s">
        <v>1565</v>
      </c>
      <c r="AZ28" s="1074" t="s">
        <v>1566</v>
      </c>
      <c r="BB28" s="1128" t="s">
        <v>1567</v>
      </c>
      <c r="BC28" s="1128" t="s">
        <v>1568</v>
      </c>
      <c r="BE28" s="1128">
        <v>2026</v>
      </c>
      <c r="BH28" s="1077" t="s">
        <v>24</v>
      </c>
      <c r="BJ28" s="1075" t="s">
        <v>1454</v>
      </c>
      <c r="BL28" s="1075" t="s">
        <v>1454</v>
      </c>
      <c r="BN28" s="1077" t="s">
        <v>24</v>
      </c>
      <c r="BQ28" s="1311">
        <v>4190073</v>
      </c>
      <c r="BR28" s="1075" t="s">
        <v>1569</v>
      </c>
      <c r="BS28" s="1459"/>
      <c r="BV28" s="1077"/>
      <c r="BW28" s="1077"/>
    </row>
    <row customHeight="1" ht="11.25">
      <c r="A29" s="1081" t="s">
        <v>1570</v>
      </c>
      <c r="D29" s="1111" t="s">
        <v>1571</v>
      </c>
      <c r="E29" s="1112" t="str">
        <f>IF(TEMPLATE_GROUP="","",INDEX(StartDateList,MATCH(TEMPLATE_GROUP,CodeTemplateList,0),1))</f>
        <v>45292.506377314814</v>
      </c>
      <c r="F29" s="1112" t="str">
        <f>IF(TEMPLATE_GROUP="","",INDEX(EndDateList,MATCH(TEMPLATE_GROUP,CodeTemplateList,0),1))</f>
        <v>45657.50649305555</v>
      </c>
      <c r="H29" s="1113" t="s">
        <v>1572</v>
      </c>
      <c r="AX29" s="1128" t="s">
        <v>1573</v>
      </c>
      <c r="AZ29" s="1128" t="s">
        <v>1222</v>
      </c>
      <c r="BB29" s="1128" t="s">
        <v>1422</v>
      </c>
      <c r="BC29" s="1098"/>
      <c r="BE29" s="1128">
        <v>2027</v>
      </c>
      <c r="BJ29" s="1075" t="s">
        <v>1462</v>
      </c>
      <c r="BL29" s="1075" t="s">
        <v>1462</v>
      </c>
    </row>
    <row customHeight="1" ht="11.25">
      <c r="A30" s="1081" t="s">
        <v>1574</v>
      </c>
      <c r="D30" s="1114"/>
      <c r="E30" s="1115"/>
      <c r="F30" s="1115"/>
      <c r="AX30" s="1128" t="s">
        <v>1575</v>
      </c>
      <c r="AZ30" s="1128" t="s">
        <v>1250</v>
      </c>
      <c r="BE30" s="1128">
        <v>2028</v>
      </c>
      <c r="BJ30" s="1075" t="s">
        <v>1576</v>
      </c>
      <c r="BL30" s="1075" t="s">
        <v>1576</v>
      </c>
    </row>
    <row customHeight="1" ht="12.75">
      <c r="A31" s="1081" t="s">
        <v>1577</v>
      </c>
      <c r="D31" s="1108"/>
      <c r="E31" s="1109"/>
      <c r="F31" s="1109"/>
      <c r="H31" s="1116"/>
      <c r="AX31" s="1128" t="s">
        <v>1578</v>
      </c>
      <c r="AZ31" s="1128" t="s">
        <v>1579</v>
      </c>
      <c r="BE31" s="1128">
        <v>2029</v>
      </c>
      <c r="BJ31" s="1075" t="s">
        <v>1580</v>
      </c>
      <c r="BL31" s="1075" t="s">
        <v>1580</v>
      </c>
    </row>
    <row customHeight="1" ht="11.25">
      <c r="A32" s="1081" t="s">
        <v>1581</v>
      </c>
      <c r="D32" s="1111" t="s">
        <v>1582</v>
      </c>
      <c r="E32" s="1112" t="str">
        <f>IF(TEMPLATE_GROUP="","",INDEX(StartDateList,MATCH(TEMPLATE_GROUP,CodeTemplateList,0),1))</f>
        <v>45292.506377314814</v>
      </c>
      <c r="F32" s="1112" t="str">
        <f>IF(TEMPLATE_GROUP="","",INDEX(EndDateList,MATCH(TEMPLATE_GROUP,CodeTemplateList,0),1))</f>
        <v>45657.50649305555</v>
      </c>
      <c r="H32" s="1117" t="s">
        <v>1583</v>
      </c>
      <c r="O32" s="1081" t="s">
        <v>1221</v>
      </c>
      <c r="AX32" s="1128" t="s">
        <v>1584</v>
      </c>
      <c r="AZ32" s="1128" t="s">
        <v>1318</v>
      </c>
      <c r="BE32" s="1128">
        <v>2030</v>
      </c>
      <c r="BJ32" s="1075" t="s">
        <v>1471</v>
      </c>
      <c r="BL32" s="1075" t="s">
        <v>1471</v>
      </c>
    </row>
    <row customHeight="1" ht="11.25">
      <c r="A33" s="1081" t="s">
        <v>1585</v>
      </c>
      <c r="O33" s="1081" t="s">
        <v>1247</v>
      </c>
      <c r="AX33" s="1128" t="s">
        <v>1586</v>
      </c>
      <c r="AZ33" s="1128" t="s">
        <v>509</v>
      </c>
      <c r="BE33" s="1128">
        <v>2031</v>
      </c>
      <c r="BJ33" s="1075" t="s">
        <v>1478</v>
      </c>
      <c r="BL33" s="1075" t="s">
        <v>1478</v>
      </c>
    </row>
    <row customHeight="1" ht="11.25">
      <c r="A34" s="1081" t="s">
        <v>1587</v>
      </c>
      <c r="O34" s="1081" t="s">
        <v>1283</v>
      </c>
      <c r="AX34" s="1128" t="s">
        <v>1588</v>
      </c>
      <c r="BE34" s="1128">
        <v>2032</v>
      </c>
      <c r="BJ34" s="1075" t="s">
        <v>1488</v>
      </c>
      <c r="BL34" s="1075" t="s">
        <v>1488</v>
      </c>
    </row>
    <row customHeight="1" ht="11.25">
      <c r="A35" s="1081" t="s">
        <v>1589</v>
      </c>
      <c r="O35" s="1081" t="s">
        <v>1316</v>
      </c>
      <c r="AX35" s="1128" t="s">
        <v>1590</v>
      </c>
      <c r="AZ35" s="1074" t="s">
        <v>1591</v>
      </c>
      <c r="BE35" s="1128">
        <v>2033</v>
      </c>
      <c r="BL35" s="1075" t="s">
        <v>1592</v>
      </c>
    </row>
    <row customHeight="1" ht="11.25">
      <c r="A36" s="1913" t="s">
        <v>1593</v>
      </c>
      <c r="D36" s="1118" t="s">
        <v>1594</v>
      </c>
      <c r="E36" s="1119" t="s">
        <v>813</v>
      </c>
      <c r="F36" s="1120" t="str">
        <f>INDEX(E37:E41,MATCH(TEMPLATE_SPHERE,F37:F41,0))</f>
        <v>водоотведения</v>
      </c>
      <c r="G36" s="1120" t="str">
        <f>INDEX(G37:G41,MATCH(TEMPLATE_SPHERE,F37:F41,0))</f>
        <v>водоотведение</v>
      </c>
      <c r="O36" s="1081" t="s">
        <v>1340</v>
      </c>
      <c r="AX36" s="1128" t="s">
        <v>1595</v>
      </c>
      <c r="AZ36" s="1128" t="s">
        <v>509</v>
      </c>
      <c r="BE36" s="1128">
        <v>2034</v>
      </c>
      <c r="BL36" s="1075" t="s">
        <v>1596</v>
      </c>
    </row>
    <row customHeight="1" ht="11.25">
      <c r="A37" s="1081" t="s">
        <v>1597</v>
      </c>
      <c r="E37" s="413" t="s">
        <v>1598</v>
      </c>
      <c r="F37" s="1121" t="s">
        <v>715</v>
      </c>
      <c r="G37" s="413" t="s">
        <v>1599</v>
      </c>
      <c r="O37" s="1081" t="s">
        <v>1358</v>
      </c>
      <c r="AX37" s="1128" t="s">
        <v>1600</v>
      </c>
      <c r="AZ37" s="1128" t="s">
        <v>1249</v>
      </c>
      <c r="BE37" s="1128">
        <v>2035</v>
      </c>
    </row>
    <row customHeight="1" ht="11.25">
      <c r="A38" s="1081" t="s">
        <v>1601</v>
      </c>
      <c r="E38" s="413" t="s">
        <v>1602</v>
      </c>
      <c r="F38" s="1122" t="s">
        <v>761</v>
      </c>
      <c r="G38" s="413" t="s">
        <v>1603</v>
      </c>
      <c r="O38" s="1081" t="s">
        <v>1374</v>
      </c>
      <c r="AX38" s="1128" t="s">
        <v>1604</v>
      </c>
      <c r="AZ38" s="1128" t="s">
        <v>1284</v>
      </c>
      <c r="BE38" s="1128">
        <v>2036</v>
      </c>
      <c r="BH38" s="1074" t="s">
        <v>1605</v>
      </c>
      <c r="BJ38" s="1074" t="s">
        <v>1606</v>
      </c>
      <c r="BL38" s="1074" t="s">
        <v>1607</v>
      </c>
      <c r="BN38" s="1074" t="s">
        <v>1608</v>
      </c>
    </row>
    <row customHeight="1" ht="11.25">
      <c r="A39" s="1081" t="s">
        <v>1609</v>
      </c>
      <c r="E39" s="413" t="s">
        <v>1610</v>
      </c>
      <c r="F39" s="1122" t="s">
        <v>813</v>
      </c>
      <c r="G39" s="413" t="s">
        <v>1611</v>
      </c>
      <c r="O39" s="1081" t="s">
        <v>1390</v>
      </c>
      <c r="AX39" s="1128" t="s">
        <v>1612</v>
      </c>
      <c r="AZ39" s="1128" t="s">
        <v>1317</v>
      </c>
      <c r="BE39" s="1128">
        <v>2037</v>
      </c>
      <c r="BH39" s="1075" t="s">
        <v>1613</v>
      </c>
      <c r="BJ39" s="1229" t="s">
        <v>1613</v>
      </c>
      <c r="BL39" s="1229" t="s">
        <v>1613</v>
      </c>
      <c r="BN39" s="1075" t="s">
        <v>1614</v>
      </c>
    </row>
    <row customHeight="1" ht="11.25">
      <c r="A40" s="1081" t="s">
        <v>1615</v>
      </c>
      <c r="E40" s="413" t="s">
        <v>1616</v>
      </c>
      <c r="F40" s="1122" t="s">
        <v>799</v>
      </c>
      <c r="G40" s="413" t="s">
        <v>1617</v>
      </c>
      <c r="O40" s="1081" t="s">
        <v>1406</v>
      </c>
      <c r="AX40" s="1128" t="s">
        <v>1618</v>
      </c>
      <c r="BE40" s="1128">
        <v>2038</v>
      </c>
      <c r="BH40" s="1075" t="s">
        <v>1619</v>
      </c>
      <c r="BJ40" s="1229" t="s">
        <v>934</v>
      </c>
      <c r="BL40" s="1229" t="s">
        <v>934</v>
      </c>
      <c r="BN40" s="1075" t="s">
        <v>968</v>
      </c>
    </row>
    <row customHeight="1" ht="11.25">
      <c r="A41" s="1081" t="s">
        <v>1620</v>
      </c>
      <c r="E41" s="413" t="s">
        <v>1621</v>
      </c>
      <c r="F41" s="1122" t="s">
        <v>1622</v>
      </c>
      <c r="G41" s="413" t="s">
        <v>1621</v>
      </c>
      <c r="O41" s="1081" t="s">
        <v>1422</v>
      </c>
      <c r="AX41" s="1128" t="s">
        <v>1623</v>
      </c>
      <c r="AZ41" s="1074" t="s">
        <v>1624</v>
      </c>
      <c r="BE41" s="1128">
        <v>2039</v>
      </c>
      <c r="BH41" s="1075" t="s">
        <v>1625</v>
      </c>
      <c r="BJ41" s="1229" t="s">
        <v>930</v>
      </c>
      <c r="BL41" s="1229" t="s">
        <v>930</v>
      </c>
      <c r="BN41" s="1075" t="s">
        <v>955</v>
      </c>
    </row>
    <row customHeight="1" ht="11.25">
      <c r="A42" s="1081" t="s">
        <v>1626</v>
      </c>
      <c r="AX42" s="1128" t="s">
        <v>1627</v>
      </c>
      <c r="AZ42" s="1128" t="s">
        <v>1221</v>
      </c>
      <c r="BE42" s="1128">
        <v>2040</v>
      </c>
      <c r="BH42" s="1075" t="s">
        <v>952</v>
      </c>
      <c r="BJ42" s="1229" t="s">
        <v>932</v>
      </c>
      <c r="BL42" s="1229" t="s">
        <v>932</v>
      </c>
      <c r="BN42" s="1075" t="s">
        <v>1628</v>
      </c>
    </row>
    <row customHeight="1" ht="11.25">
      <c r="A43" s="1081" t="s">
        <v>1629</v>
      </c>
      <c r="AX43" s="1128" t="s">
        <v>1630</v>
      </c>
      <c r="AZ43" s="1128" t="s">
        <v>1247</v>
      </c>
      <c r="BE43" s="1128">
        <v>2041</v>
      </c>
      <c r="BH43" s="1075" t="s">
        <v>1631</v>
      </c>
      <c r="BJ43" s="1229" t="s">
        <v>1625</v>
      </c>
      <c r="BL43" s="1229" t="s">
        <v>1625</v>
      </c>
      <c r="BN43" s="1075" t="s">
        <v>1632</v>
      </c>
    </row>
    <row customHeight="1" ht="11.25">
      <c r="A44" s="1081" t="s">
        <v>1633</v>
      </c>
      <c r="I44" s="805" t="s">
        <v>1634</v>
      </c>
      <c r="J44" s="1096" t="s">
        <v>1635</v>
      </c>
      <c r="K44" s="1096" t="s">
        <v>1636</v>
      </c>
      <c r="AX44" s="1128" t="s">
        <v>1637</v>
      </c>
      <c r="AZ44" s="1128" t="s">
        <v>1283</v>
      </c>
      <c r="BE44" s="1128">
        <v>2042</v>
      </c>
      <c r="BH44" s="1075" t="s">
        <v>1638</v>
      </c>
      <c r="BJ44" s="1229" t="s">
        <v>952</v>
      </c>
      <c r="BL44" s="1229" t="s">
        <v>952</v>
      </c>
      <c r="BN44" s="1075" t="s">
        <v>1639</v>
      </c>
    </row>
    <row customHeight="1" ht="11.25">
      <c r="A45" s="1081" t="s">
        <v>1640</v>
      </c>
      <c r="D45" s="1118" t="s">
        <v>1641</v>
      </c>
      <c r="E45" s="1119" t="s">
        <v>1642</v>
      </c>
      <c r="F45" s="803" t="s">
        <v>1643</v>
      </c>
      <c r="G45" s="802" t="s">
        <v>1644</v>
      </c>
      <c r="H45" s="805" t="s">
        <v>1645</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1646</v>
      </c>
      <c r="AZ45" s="1128" t="s">
        <v>1316</v>
      </c>
      <c r="BE45" s="1128">
        <v>2043</v>
      </c>
      <c r="BH45" s="1075" t="s">
        <v>1647</v>
      </c>
      <c r="BJ45" s="1229" t="s">
        <v>946</v>
      </c>
      <c r="BL45" s="1229" t="s">
        <v>946</v>
      </c>
      <c r="BN45" s="1075" t="s">
        <v>1648</v>
      </c>
    </row>
    <row customHeight="1" ht="11.25">
      <c r="A46" s="1081" t="s">
        <v>1649</v>
      </c>
      <c r="E46" s="413" t="s">
        <v>22</v>
      </c>
      <c r="F46" s="1121" t="s">
        <v>1650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1651</v>
      </c>
      <c r="AZ46" s="1128" t="s">
        <v>1340</v>
      </c>
      <c r="BE46" s="1128">
        <v>2044</v>
      </c>
      <c r="BH46" s="1075" t="s">
        <v>955</v>
      </c>
      <c r="BJ46" s="1229" t="s">
        <v>936</v>
      </c>
      <c r="BL46" s="1229" t="s">
        <v>936</v>
      </c>
      <c r="BN46" s="1075" t="s">
        <v>1652</v>
      </c>
    </row>
    <row customHeight="1" ht="11.25">
      <c r="A47" s="1081" t="s">
        <v>1653</v>
      </c>
      <c r="E47" s="413" t="s">
        <v>29</v>
      </c>
      <c r="F47" s="1122" t="s">
        <v>1654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1655</v>
      </c>
      <c r="AZ47" s="1128" t="s">
        <v>1358</v>
      </c>
      <c r="BE47" s="1128">
        <v>2045</v>
      </c>
      <c r="BH47" s="1075" t="s">
        <v>1628</v>
      </c>
      <c r="BJ47" s="1229" t="s">
        <v>938</v>
      </c>
      <c r="BL47" s="1229" t="s">
        <v>938</v>
      </c>
      <c r="BN47" s="1075" t="s">
        <v>1656</v>
      </c>
    </row>
    <row customHeight="1" ht="11.25">
      <c r="A48" s="1081" t="s">
        <v>1657</v>
      </c>
      <c r="E48" s="413" t="s">
        <v>1658</v>
      </c>
      <c r="F48" s="1122" t="s">
        <v>1659</v>
      </c>
      <c r="G48" s="1124" t="str">
        <f>IF(f_year="","","01.01."&amp;f_year)</f>
        <v/>
      </c>
      <c r="H48" s="1124" t="str">
        <f>IF(f_year="","","31.12."&amp;f_year)</f>
        <v/>
      </c>
      <c r="I48" s="1782">
        <f>IF(f_year="",TRUE,FALSE)</f>
        <v>1</v>
      </c>
      <c r="J48" s="1785" t="s">
        <v>1660</v>
      </c>
      <c r="K48" s="1786"/>
      <c r="AX48" s="1128" t="s">
        <v>1661</v>
      </c>
      <c r="AZ48" s="1128" t="s">
        <v>1374</v>
      </c>
      <c r="BE48" s="1128">
        <v>2046</v>
      </c>
      <c r="BH48" s="1075" t="s">
        <v>1632</v>
      </c>
      <c r="BJ48" s="1229" t="s">
        <v>940</v>
      </c>
      <c r="BL48" s="1229" t="s">
        <v>940</v>
      </c>
      <c r="BN48" s="1075" t="s">
        <v>1662</v>
      </c>
    </row>
    <row customHeight="1" ht="11.25">
      <c r="A49" s="1081" t="s">
        <v>1663</v>
      </c>
      <c r="E49" s="413" t="s">
        <v>1664</v>
      </c>
      <c r="F49" s="1122" t="s">
        <v>1665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1666</v>
      </c>
      <c r="AZ49" s="1128" t="s">
        <v>1390</v>
      </c>
      <c r="BE49" s="1128">
        <v>2047</v>
      </c>
      <c r="BH49" s="1075" t="s">
        <v>956</v>
      </c>
      <c r="BJ49" s="1229" t="s">
        <v>942</v>
      </c>
      <c r="BL49" s="1229" t="s">
        <v>942</v>
      </c>
    </row>
    <row customHeight="1" ht="11.25">
      <c r="A50" s="1081" t="s">
        <v>1667</v>
      </c>
      <c r="E50" s="413" t="s">
        <v>1668</v>
      </c>
      <c r="F50" s="1122" t="s">
        <v>926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1669</v>
      </c>
      <c r="AZ50" s="1128" t="s">
        <v>1406</v>
      </c>
      <c r="BE50" s="1128">
        <v>2048</v>
      </c>
      <c r="BH50" s="1075" t="s">
        <v>1639</v>
      </c>
      <c r="BJ50" s="1229" t="s">
        <v>944</v>
      </c>
      <c r="BL50" s="1229" t="s">
        <v>944</v>
      </c>
    </row>
    <row customHeight="1" ht="11.25">
      <c r="A51" s="1081" t="s">
        <v>1670</v>
      </c>
      <c r="E51" s="413" t="s">
        <v>1671</v>
      </c>
      <c r="F51" s="1122" t="s">
        <v>1672</v>
      </c>
      <c r="G51" s="1124" t="str">
        <f>IF(TITLE_PERIOD_START="","",TITLE_PERIOD_START)</f>
        <v>45292.506377314814</v>
      </c>
      <c r="H51" s="1124" t="str">
        <f>IF(TITLE_PERIOD_END="","",TITLE_PERIOD_END)</f>
        <v>45657.50649305555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1673</v>
      </c>
      <c r="AZ51" s="1128" t="s">
        <v>1422</v>
      </c>
      <c r="BE51" s="1128">
        <v>2049</v>
      </c>
      <c r="BH51" s="1075" t="s">
        <v>1648</v>
      </c>
      <c r="BJ51" s="1229" t="s">
        <v>1674</v>
      </c>
      <c r="BL51" s="1229" t="s">
        <v>1674</v>
      </c>
    </row>
    <row customHeight="1" ht="11.25">
      <c r="A52" s="1081" t="s">
        <v>1675</v>
      </c>
      <c r="E52" s="413" t="s">
        <v>1676</v>
      </c>
      <c r="F52" s="1122" t="s">
        <v>1642</v>
      </c>
      <c r="G52" s="1124" t="str">
        <f>IF(TITLE_PERIOD_START="","",TITLE_PERIOD_START)</f>
        <v>45292.506377314814</v>
      </c>
      <c r="H52" s="1124" t="str">
        <f>IF(TITLE_PERIOD_END="","",TITLE_PERIOD_END)</f>
        <v>45657.50649305555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1677</v>
      </c>
      <c r="AZ52" s="1128" t="s">
        <v>509</v>
      </c>
      <c r="BE52" s="1128">
        <v>2050</v>
      </c>
      <c r="BH52" s="1075" t="s">
        <v>1652</v>
      </c>
      <c r="BJ52" s="1229" t="s">
        <v>955</v>
      </c>
      <c r="BL52" s="1229" t="s">
        <v>955</v>
      </c>
    </row>
    <row customHeight="1" ht="11.25">
      <c r="A53" s="1081" t="s">
        <v>1678</v>
      </c>
      <c r="E53" s="413" t="s">
        <v>1679</v>
      </c>
      <c r="F53" s="1122" t="s">
        <v>1679</v>
      </c>
      <c r="G53" s="1124" t="str">
        <f>IF(f_year="","","01.01."&amp;f_year)</f>
        <v/>
      </c>
      <c r="H53" s="1124" t="str">
        <f>IF(f_year="","","31.12."&amp;f_year)</f>
        <v/>
      </c>
      <c r="I53" s="1782">
        <f>IF(AND(f_year="",TITLE_DATE_FIL=""),TRUE,FALSE)</f>
        <v>1</v>
      </c>
      <c r="J53" s="1785" t="s">
        <v>1680</v>
      </c>
      <c r="K53" s="1786"/>
      <c r="AX53" s="1128" t="s">
        <v>1681</v>
      </c>
      <c r="BE53" s="1128">
        <v>2051</v>
      </c>
      <c r="BH53" s="1075" t="s">
        <v>1656</v>
      </c>
      <c r="BJ53" s="1229" t="s">
        <v>1628</v>
      </c>
      <c r="BL53" s="1229" t="s">
        <v>1628</v>
      </c>
    </row>
    <row customHeight="1" ht="11.25">
      <c r="A54" s="1081" t="s">
        <v>1682</v>
      </c>
      <c r="AX54" s="1128" t="s">
        <v>1683</v>
      </c>
      <c r="AZ54" s="1074" t="s">
        <v>1684</v>
      </c>
      <c r="BE54" s="1128">
        <v>2052</v>
      </c>
      <c r="BH54" s="1075" t="s">
        <v>1662</v>
      </c>
      <c r="BJ54" s="1229" t="s">
        <v>1632</v>
      </c>
      <c r="BL54" s="1229" t="s">
        <v>1632</v>
      </c>
    </row>
    <row customHeight="1" ht="11.25">
      <c r="A55" s="1081" t="s">
        <v>1685</v>
      </c>
      <c r="AX55" s="1128" t="s">
        <v>1686</v>
      </c>
      <c r="AZ55" s="1128" t="s">
        <v>1223</v>
      </c>
      <c r="BE55" s="1128">
        <v>2053</v>
      </c>
      <c r="BH55" s="1077" t="s">
        <v>24</v>
      </c>
      <c r="BJ55" s="1229" t="s">
        <v>956</v>
      </c>
      <c r="BL55" s="1229" t="s">
        <v>956</v>
      </c>
    </row>
    <row customHeight="1" ht="11.25">
      <c r="A56" s="1081" t="s">
        <v>1687</v>
      </c>
      <c r="D56" s="1126" t="s">
        <v>1688</v>
      </c>
      <c r="E56" s="1102">
        <v>55</v>
      </c>
      <c r="F56" s="1081" t="s">
        <v>1689</v>
      </c>
      <c r="AX56" s="1128" t="s">
        <v>1690</v>
      </c>
      <c r="AZ56" s="1128" t="s">
        <v>1251</v>
      </c>
      <c r="BE56" s="1128">
        <v>2054</v>
      </c>
      <c r="BH56" s="1077" t="s">
        <v>24</v>
      </c>
      <c r="BJ56" s="1229" t="s">
        <v>1639</v>
      </c>
      <c r="BL56" s="1229" t="s">
        <v>1639</v>
      </c>
    </row>
    <row customHeight="1" ht="11.25">
      <c r="A57" s="1081" t="s">
        <v>1691</v>
      </c>
      <c r="D57" s="1126" t="s">
        <v>1692</v>
      </c>
      <c r="E57" s="1102">
        <v>66</v>
      </c>
      <c r="F57" s="1081" t="s">
        <v>1689</v>
      </c>
      <c r="AX57" s="1128" t="s">
        <v>1693</v>
      </c>
      <c r="AZ57" s="1128" t="s">
        <v>1286</v>
      </c>
      <c r="BE57" s="1128">
        <v>2055</v>
      </c>
      <c r="BJ57" s="1229" t="s">
        <v>1648</v>
      </c>
      <c r="BL57" s="1229" t="s">
        <v>1648</v>
      </c>
    </row>
    <row customHeight="1" ht="11.25">
      <c r="A58" s="1081" t="s">
        <v>1694</v>
      </c>
      <c r="D58" s="1126" t="s">
        <v>1695</v>
      </c>
      <c r="E58" s="1102">
        <v>44</v>
      </c>
      <c r="F58" s="1081" t="s">
        <v>1689</v>
      </c>
      <c r="AX58" s="1128" t="s">
        <v>1696</v>
      </c>
      <c r="BE58" s="1128">
        <v>2056</v>
      </c>
      <c r="BJ58" s="1229" t="s">
        <v>1652</v>
      </c>
      <c r="BL58" s="1229" t="s">
        <v>1652</v>
      </c>
    </row>
    <row customHeight="1" ht="11.25">
      <c r="A59" s="1081" t="s">
        <v>1697</v>
      </c>
      <c r="D59" s="1126" t="s">
        <v>129</v>
      </c>
      <c r="E59" s="1102" t="s">
        <v>1519</v>
      </c>
      <c r="F59" s="1081" t="s">
        <v>1698</v>
      </c>
      <c r="AX59" s="1128" t="s">
        <v>1699</v>
      </c>
      <c r="AZ59" s="1074" t="s">
        <v>1700</v>
      </c>
      <c r="BE59" s="1128">
        <v>2057</v>
      </c>
      <c r="BJ59" s="1229" t="s">
        <v>1656</v>
      </c>
      <c r="BL59" s="1229" t="s">
        <v>1656</v>
      </c>
    </row>
    <row customHeight="1" ht="11.25">
      <c r="A60" s="1081" t="s">
        <v>1701</v>
      </c>
      <c r="D60" s="1126" t="s">
        <v>1702</v>
      </c>
      <c r="E60" s="1102" t="s">
        <v>1519</v>
      </c>
      <c r="F60" s="1081" t="s">
        <v>1698</v>
      </c>
      <c r="AX60" s="1128" t="s">
        <v>1703</v>
      </c>
      <c r="AZ60" s="1128" t="s">
        <v>1224</v>
      </c>
      <c r="BE60" s="1128">
        <v>2058</v>
      </c>
      <c r="BJ60" s="1229" t="s">
        <v>1662</v>
      </c>
      <c r="BL60" s="1229" t="s">
        <v>1662</v>
      </c>
    </row>
    <row customHeight="1" ht="11.25">
      <c r="A61" s="1081" t="s">
        <v>14</v>
      </c>
      <c r="D61" s="1126" t="s">
        <v>1704</v>
      </c>
      <c r="E61" s="1102">
        <v>26</v>
      </c>
      <c r="F61" s="1081" t="s">
        <v>1698</v>
      </c>
      <c r="AX61" s="1128" t="s">
        <v>1705</v>
      </c>
      <c r="AZ61" s="1128" t="s">
        <v>1252</v>
      </c>
      <c r="BE61" s="1128">
        <v>2059</v>
      </c>
      <c r="BL61" s="1229" t="s">
        <v>948</v>
      </c>
    </row>
    <row customHeight="1" ht="11.25">
      <c r="A62" s="1081" t="s">
        <v>1706</v>
      </c>
      <c r="D62" s="1126" t="s">
        <v>128</v>
      </c>
      <c r="E62" s="1102">
        <v>30</v>
      </c>
      <c r="F62" s="1081" t="s">
        <v>1698</v>
      </c>
      <c r="AZ62" s="1128" t="s">
        <v>1287</v>
      </c>
      <c r="BE62" s="1128">
        <v>2060</v>
      </c>
      <c r="BL62" s="1229" t="s">
        <v>950</v>
      </c>
    </row>
    <row customHeight="1" ht="11.25">
      <c r="A63" s="1081" t="s">
        <v>1707</v>
      </c>
      <c r="D63" s="1126" t="s">
        <v>1708</v>
      </c>
      <c r="E63" s="1102">
        <v>30</v>
      </c>
      <c r="F63" s="1081" t="s">
        <v>1698</v>
      </c>
      <c r="AZ63" s="1128" t="s">
        <v>1319</v>
      </c>
      <c r="BE63" s="1128">
        <v>2061</v>
      </c>
    </row>
    <row customHeight="1" ht="11.25">
      <c r="A64" s="1081" t="s">
        <v>1709</v>
      </c>
      <c r="D64" s="1126" t="s">
        <v>1710</v>
      </c>
      <c r="E64" s="1102">
        <v>30</v>
      </c>
      <c r="F64" s="1081" t="s">
        <v>1698</v>
      </c>
      <c r="AZ64" s="1128" t="s">
        <v>1341</v>
      </c>
      <c r="BE64" s="1128">
        <v>2062</v>
      </c>
    </row>
    <row customHeight="1" ht="11.25">
      <c r="A65" s="1081" t="s">
        <v>1711</v>
      </c>
      <c r="D65" s="1081"/>
      <c r="BE65" s="1128">
        <v>2063</v>
      </c>
    </row>
    <row customHeight="1" ht="11.25">
      <c r="A66" s="1081" t="s">
        <v>1712</v>
      </c>
      <c r="AZ66" s="1074" t="s">
        <v>1713</v>
      </c>
      <c r="BE66" s="1128">
        <v>2064</v>
      </c>
    </row>
    <row customHeight="1" ht="11.25">
      <c r="A67" s="1081" t="s">
        <v>1714</v>
      </c>
      <c r="AZ67" s="1128" t="s">
        <v>1225</v>
      </c>
      <c r="BE67" s="1128">
        <v>2065</v>
      </c>
    </row>
    <row customHeight="1" ht="11.25">
      <c r="A68" s="1081" t="s">
        <v>1715</v>
      </c>
      <c r="AZ68" s="1128" t="s">
        <v>1253</v>
      </c>
      <c r="BE68" s="1128">
        <v>2066</v>
      </c>
      <c r="BH68" s="1074" t="s">
        <v>1716</v>
      </c>
      <c r="BJ68" s="1074" t="s">
        <v>1717</v>
      </c>
      <c r="BL68" s="1074" t="s">
        <v>1718</v>
      </c>
      <c r="BN68" s="1074" t="s">
        <v>1719</v>
      </c>
    </row>
    <row customHeight="1" ht="11.25">
      <c r="A69" s="1081" t="s">
        <v>1720</v>
      </c>
      <c r="AZ69" s="1128" t="s">
        <v>1288</v>
      </c>
      <c r="BE69" s="1128">
        <v>2067</v>
      </c>
      <c r="BH69" s="1075" t="s">
        <v>1721</v>
      </c>
      <c r="BI69" s="1125" t="s">
        <v>107</v>
      </c>
      <c r="BJ69" s="1075" t="s">
        <v>1722</v>
      </c>
      <c r="BK69" s="1125" t="s">
        <v>107</v>
      </c>
      <c r="BL69" s="1075" t="s">
        <v>1723</v>
      </c>
      <c r="BN69" s="1075" t="s">
        <v>1724</v>
      </c>
    </row>
    <row customHeight="1" ht="11.25">
      <c r="A70" s="1081" t="s">
        <v>1725</v>
      </c>
      <c r="AZ70" s="1128" t="s">
        <v>1320</v>
      </c>
      <c r="BE70" s="1128">
        <v>2068</v>
      </c>
      <c r="BH70" s="1075" t="s">
        <v>1726</v>
      </c>
      <c r="BJ70" s="1075" t="s">
        <v>1727</v>
      </c>
      <c r="BL70" s="1075" t="s">
        <v>1728</v>
      </c>
      <c r="BN70" s="1075" t="s">
        <v>1729</v>
      </c>
    </row>
    <row customHeight="1" ht="11.25">
      <c r="A71" s="1081" t="s">
        <v>1730</v>
      </c>
      <c r="AZ71" s="1128" t="s">
        <v>1322</v>
      </c>
      <c r="BE71" s="1128">
        <v>2069</v>
      </c>
      <c r="BH71" s="1075" t="s">
        <v>1731</v>
      </c>
      <c r="BI71" s="1125" t="s">
        <v>88</v>
      </c>
      <c r="BJ71" s="1075" t="s">
        <v>1732</v>
      </c>
      <c r="BK71" s="1125" t="s">
        <v>88</v>
      </c>
      <c r="BL71" s="1075" t="s">
        <v>1733</v>
      </c>
      <c r="BN71" s="1075" t="s">
        <v>1734</v>
      </c>
    </row>
    <row customHeight="1" ht="11.25">
      <c r="A72" s="1081" t="s">
        <v>1735</v>
      </c>
      <c r="AZ72" s="1128" t="s">
        <v>55</v>
      </c>
      <c r="BE72" s="1128">
        <v>2070</v>
      </c>
      <c r="BH72" s="1075" t="s">
        <v>1736</v>
      </c>
      <c r="BJ72" s="1075" t="s">
        <v>1736</v>
      </c>
      <c r="BL72" s="1075" t="s">
        <v>1736</v>
      </c>
      <c r="BN72" s="1075" t="s">
        <v>1737</v>
      </c>
    </row>
    <row customHeight="1" ht="11.25">
      <c r="A73" s="1081" t="s">
        <v>1738</v>
      </c>
      <c r="BH73" s="1075" t="s">
        <v>1739</v>
      </c>
      <c r="BI73" s="1125" t="s">
        <v>109</v>
      </c>
      <c r="BJ73" s="1075" t="s">
        <v>1740</v>
      </c>
      <c r="BK73" s="1125" t="s">
        <v>109</v>
      </c>
      <c r="BL73" s="1075" t="s">
        <v>1741</v>
      </c>
      <c r="BN73" s="1075" t="s">
        <v>1742</v>
      </c>
    </row>
    <row customHeight="1" ht="11.25">
      <c r="A74" s="1081" t="s">
        <v>1743</v>
      </c>
      <c r="BH74" s="1075" t="s">
        <v>1744</v>
      </c>
      <c r="BJ74" s="1075" t="s">
        <v>1745</v>
      </c>
      <c r="BL74" s="1075" t="s">
        <v>1746</v>
      </c>
      <c r="BN74" s="1075" t="s">
        <v>1747</v>
      </c>
    </row>
    <row customHeight="1" ht="11.25">
      <c r="A75" s="1081" t="s">
        <v>1748</v>
      </c>
      <c r="AZ75" s="1074" t="s">
        <v>1749</v>
      </c>
      <c r="BH75" s="1075" t="s">
        <v>1750</v>
      </c>
      <c r="BJ75" s="1075" t="s">
        <v>1750</v>
      </c>
      <c r="BL75" s="1075" t="s">
        <v>1750</v>
      </c>
    </row>
    <row customHeight="1" ht="11.25">
      <c r="A76" s="1081" t="s">
        <v>1751</v>
      </c>
      <c r="AZ76" s="1128" t="s">
        <v>1234</v>
      </c>
      <c r="BH76" s="1075" t="s">
        <v>1752</v>
      </c>
      <c r="BJ76" s="1075" t="s">
        <v>1753</v>
      </c>
      <c r="BL76" s="1075" t="s">
        <v>1754</v>
      </c>
    </row>
    <row customHeight="1" ht="11.25">
      <c r="A77" s="1081" t="s">
        <v>1755</v>
      </c>
      <c r="AZ77" s="1128" t="s">
        <v>1263</v>
      </c>
    </row>
    <row customHeight="1" ht="11.25">
      <c r="A78" s="1081" t="s">
        <v>1756</v>
      </c>
      <c r="AZ78" s="1128" t="s">
        <v>1295</v>
      </c>
    </row>
    <row customHeight="1" ht="11.25">
      <c r="A79" s="1081" t="s">
        <v>1757</v>
      </c>
      <c r="AZ79" s="1128" t="s">
        <v>519</v>
      </c>
      <c r="BH79" s="1074" t="s">
        <v>1758</v>
      </c>
      <c r="BJ79" s="1074" t="s">
        <v>1759</v>
      </c>
      <c r="BL79" s="1074" t="s">
        <v>1760</v>
      </c>
    </row>
    <row customHeight="1" ht="11.25">
      <c r="A80" s="1081" t="s">
        <v>1761</v>
      </c>
      <c r="AZ80" s="1128" t="s">
        <v>521</v>
      </c>
      <c r="BH80" s="1075" t="s">
        <v>1762</v>
      </c>
      <c r="BJ80" s="1075" t="s">
        <v>1763</v>
      </c>
      <c r="BL80" s="1075" t="s">
        <v>1764</v>
      </c>
    </row>
    <row customHeight="1" ht="11.25">
      <c r="A81" s="1081" t="s">
        <v>1765</v>
      </c>
      <c r="AZ81" s="1128" t="s">
        <v>1362</v>
      </c>
      <c r="BH81" s="1075" t="s">
        <v>1766</v>
      </c>
      <c r="BJ81" s="1075" t="s">
        <v>1767</v>
      </c>
      <c r="BL81" s="1075" t="s">
        <v>1768</v>
      </c>
    </row>
    <row customHeight="1" ht="11.25">
      <c r="A82" s="1081" t="s">
        <v>1769</v>
      </c>
      <c r="AZ82" s="1128" t="s">
        <v>1376</v>
      </c>
      <c r="BH82" s="1075" t="s">
        <v>1770</v>
      </c>
      <c r="BJ82" s="1075" t="s">
        <v>1771</v>
      </c>
      <c r="BL82" s="1075" t="s">
        <v>1772</v>
      </c>
    </row>
    <row customHeight="1" ht="11.25">
      <c r="A83" s="1081" t="s">
        <v>1773</v>
      </c>
      <c r="BH83" s="1075" t="s">
        <v>1774</v>
      </c>
      <c r="BJ83" s="1075" t="s">
        <v>1775</v>
      </c>
      <c r="BL83" s="1075" t="s">
        <v>1776</v>
      </c>
    </row>
    <row customHeight="1" ht="11.25">
      <c r="A84" s="1081" t="s">
        <v>1777</v>
      </c>
      <c r="AZ84" s="1074" t="s">
        <v>1778</v>
      </c>
    </row>
    <row customHeight="1" ht="11.25">
      <c r="A85" s="1913" t="s">
        <v>1779</v>
      </c>
      <c r="AZ85" s="1128" t="s">
        <v>1780</v>
      </c>
    </row>
    <row customHeight="1" ht="11.25">
      <c r="A86" s="1081" t="s">
        <v>1781</v>
      </c>
      <c r="AZ86" s="1128" t="s">
        <v>1782</v>
      </c>
      <c r="BH86" s="1074" t="s">
        <v>1783</v>
      </c>
      <c r="BJ86" s="1074" t="s">
        <v>1784</v>
      </c>
      <c r="BL86" s="1074" t="s">
        <v>1785</v>
      </c>
    </row>
    <row customHeight="1" ht="11.25">
      <c r="A87" s="1081" t="s">
        <v>1786</v>
      </c>
      <c r="AZ87" s="1128" t="s">
        <v>1787</v>
      </c>
      <c r="BH87" s="1075" t="s">
        <v>1788</v>
      </c>
      <c r="BJ87" s="1075" t="s">
        <v>1789</v>
      </c>
      <c r="BL87" s="1075" t="s">
        <v>1790</v>
      </c>
    </row>
    <row customHeight="1" ht="11.25">
      <c r="A88" s="1081" t="s">
        <v>1791</v>
      </c>
      <c r="AZ88" s="1646"/>
      <c r="BH88" s="1075" t="s">
        <v>1792</v>
      </c>
      <c r="BJ88" s="1075" t="s">
        <v>1793</v>
      </c>
      <c r="BL88" s="1075" t="s">
        <v>1794</v>
      </c>
    </row>
    <row customHeight="1" ht="11.25">
      <c r="A89" s="1081" t="s">
        <v>1795</v>
      </c>
      <c r="AZ89" s="1074" t="s">
        <v>1796</v>
      </c>
    </row>
    <row customHeight="1" ht="11.25">
      <c r="A90" s="1081" t="s">
        <v>1797</v>
      </c>
      <c r="AZ90" s="1128" t="s">
        <v>926</v>
      </c>
    </row>
    <row customHeight="1" ht="11.25">
      <c r="A91" s="1081" t="s">
        <v>1798</v>
      </c>
      <c r="AZ91" s="1128" t="s">
        <v>962</v>
      </c>
      <c r="BH91" s="1074" t="s">
        <v>1799</v>
      </c>
      <c r="BJ91" s="1074" t="s">
        <v>1800</v>
      </c>
      <c r="BL91" s="1074" t="s">
        <v>1801</v>
      </c>
    </row>
    <row customHeight="1" ht="11.25">
      <c r="AZ92" s="1128" t="s">
        <v>1802</v>
      </c>
      <c r="BH92" s="1075" t="s">
        <v>1803</v>
      </c>
      <c r="BJ92" s="1075" t="s">
        <v>1804</v>
      </c>
      <c r="BL92" s="1075" t="s">
        <v>1805</v>
      </c>
    </row>
    <row customHeight="1" ht="11.25">
      <c r="AZ93" s="1128" t="s">
        <v>1806</v>
      </c>
      <c r="BH93" s="1075" t="s">
        <v>1807</v>
      </c>
      <c r="BJ93" s="1075" t="s">
        <v>1808</v>
      </c>
      <c r="BL93" s="1075" t="s">
        <v>1809</v>
      </c>
    </row>
    <row customHeight="1" ht="11.25">
      <c r="AZ94" s="1128" t="s">
        <v>1810</v>
      </c>
    </row>
    <row r="96" customHeight="1" ht="11.25">
      <c r="AZ96" s="1074" t="s">
        <v>1811</v>
      </c>
      <c r="BH96" s="1074" t="s">
        <v>1812</v>
      </c>
      <c r="BJ96" s="1074" t="s">
        <v>1813</v>
      </c>
      <c r="BL96" s="1074" t="s">
        <v>1814</v>
      </c>
      <c r="BN96" s="1074" t="s">
        <v>1815</v>
      </c>
    </row>
    <row customHeight="1" ht="11.25">
      <c r="AZ97" s="1128" t="s">
        <v>1816</v>
      </c>
      <c r="BH97" s="1075" t="s">
        <v>1817</v>
      </c>
      <c r="BJ97" s="1075" t="s">
        <v>1818</v>
      </c>
      <c r="BL97" s="1075" t="s">
        <v>1819</v>
      </c>
      <c r="BN97" s="1075" t="s">
        <v>1820</v>
      </c>
    </row>
    <row customHeight="1" ht="11.25">
      <c r="AZ98" s="1128" t="s">
        <v>1821</v>
      </c>
      <c r="BH98" s="1075" t="s">
        <v>1822</v>
      </c>
      <c r="BJ98" s="1075" t="s">
        <v>1823</v>
      </c>
      <c r="BL98" s="1075" t="s">
        <v>1824</v>
      </c>
      <c r="BN98" s="1075" t="s">
        <v>1825</v>
      </c>
    </row>
    <row customHeight="1" ht="11.25">
      <c r="AZ99" s="1128" t="s">
        <v>1826</v>
      </c>
      <c r="BH99" s="1075" t="s">
        <v>1827</v>
      </c>
      <c r="BJ99" s="1075" t="s">
        <v>1828</v>
      </c>
      <c r="BL99" s="1075" t="s">
        <v>1829</v>
      </c>
      <c r="BN99" s="1075" t="s">
        <v>1830</v>
      </c>
    </row>
    <row customHeight="1" ht="11.25">
      <c r="BJ100" s="1075" t="s">
        <v>1422</v>
      </c>
      <c r="BL100" s="1075" t="s">
        <v>1422</v>
      </c>
      <c r="BN100" s="1075" t="s">
        <v>1831</v>
      </c>
    </row>
    <row customHeight="1" ht="11.25">
      <c r="AZ101" s="1732" t="s">
        <v>1832</v>
      </c>
      <c r="BN101" s="1075" t="s">
        <v>1833</v>
      </c>
    </row>
    <row customHeight="1" ht="11.25">
      <c r="AZ102" s="1128" t="s">
        <v>1834</v>
      </c>
      <c r="BN102" s="1075" t="s">
        <v>1835</v>
      </c>
    </row>
    <row customHeight="1" ht="11.25">
      <c r="AZ103" s="1128" t="s">
        <v>1836</v>
      </c>
      <c r="BN103" s="1075" t="s">
        <v>1837</v>
      </c>
    </row>
    <row customHeight="1" ht="11.25">
      <c r="AZ104" s="1128" t="s">
        <v>564</v>
      </c>
      <c r="BN104" s="1075" t="s">
        <v>1838</v>
      </c>
    </row>
    <row r="107" customHeight="1" ht="11.25">
      <c r="BH107" s="1074" t="s">
        <v>1839</v>
      </c>
      <c r="BJ107" s="1074" t="s">
        <v>1840</v>
      </c>
      <c r="BL107" s="1074" t="s">
        <v>1841</v>
      </c>
      <c r="BN107" s="1074" t="s">
        <v>1842</v>
      </c>
    </row>
    <row customHeight="1" ht="11.25">
      <c r="BH108" s="1075" t="s">
        <v>1843</v>
      </c>
      <c r="BJ108" s="1075" t="s">
        <v>1844</v>
      </c>
      <c r="BL108" s="1075" t="s">
        <v>1507</v>
      </c>
      <c r="BN108" s="1075" t="s">
        <v>1845</v>
      </c>
    </row>
    <row customHeight="1" ht="11.25">
      <c r="BH109" s="1075" t="s">
        <v>1846</v>
      </c>
    </row>
    <row customHeight="1" ht="11.25">
      <c r="BH110" s="1075" t="s">
        <v>1846</v>
      </c>
    </row>
    <row r="114" customHeight="1" ht="11.25">
      <c r="BH114" s="1074" t="s">
        <v>1847</v>
      </c>
    </row>
    <row customHeight="1" ht="11.25">
      <c r="BH115" s="1075" t="s">
        <v>509</v>
      </c>
    </row>
    <row customHeight="1" ht="11.25">
      <c r="BH116" s="1075" t="s">
        <v>1249</v>
      </c>
    </row>
    <row customHeight="1" ht="11.25">
      <c r="BH117" s="1075" t="s">
        <v>1284</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D1B8E-4067-3C8C-05EB-164D7680BA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760" width="43.140625"/>
    <col min="2" max="2" style="5760" width="43.140625" hidden="1"/>
    <col min="3" max="3" style="5760" width="43.140625"/>
    <col min="4" max="5" style="5760" width="36.421875" customWidth="1"/>
    <col min="6" max="8" style="5761" width="36.421875" customWidth="1"/>
  </cols>
  <sheetData>
    <row customHeight="1" ht="9">
      <c r="A1" s="852" t="s">
        <v>1848</v>
      </c>
      <c r="B1" s="852"/>
      <c r="C1" s="989" t="s">
        <v>1849</v>
      </c>
      <c r="D1" s="987" t="s">
        <v>715</v>
      </c>
      <c r="E1" s="987" t="s">
        <v>761</v>
      </c>
      <c r="F1" s="987" t="s">
        <v>813</v>
      </c>
      <c r="G1" s="987" t="s">
        <v>799</v>
      </c>
      <c r="H1" s="987" t="s">
        <v>1622</v>
      </c>
    </row>
    <row customHeight="1" ht="9">
      <c r="A2" s="990" t="s">
        <v>1850</v>
      </c>
      <c r="B2" s="990"/>
      <c r="C2" s="991" t="str">
        <f>INDEX(TEMPLATE_NUMBER_FORM_LIST,MATCH(TEMPLATE_SPHERE,TEMPLATE_SPHERE_LIST,0))</f>
        <v>10</v>
      </c>
      <c r="D2" s="990" t="s">
        <v>1473</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1852</v>
      </c>
      <c r="B4" s="852" t="s">
        <v>108</v>
      </c>
      <c r="C4" s="991" t="str">
        <f>IF(TEMPLATE_SPHERE="HEAT",D4,IF(TEMPLATE_SPHERE="TKO",H4,E4))</f>
        <v>Форма 1. Информация об организации, осуществляющей водоотведение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1854</v>
      </c>
    </row>
    <row customHeight="1" ht="117">
      <c r="A5" s="852" t="s">
        <v>1855</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1857</v>
      </c>
    </row>
    <row customHeight="1" ht="45">
      <c r="A6" s="852" t="s">
        <v>1858</v>
      </c>
      <c r="B6" s="852" t="s">
        <v>89</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1860</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1861</v>
      </c>
      <c r="E7" s="852" t="s">
        <v>1862</v>
      </c>
      <c r="F7" s="993"/>
      <c r="G7" s="993"/>
      <c r="H7" s="993"/>
    </row>
    <row customHeight="1" ht="108">
      <c r="A8" s="852" t="s">
        <v>1863</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1573</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1911</v>
      </c>
      <c r="B31" s="852"/>
      <c r="C31" s="991" t="str">
        <f>IF(TEMPLATE_SPHERE="HEAT",D31,IF(TEMPLATE_SPHERE="TKO",H31,E31))</f>
        <v>Форма 1. Информация об организации, осуществляющей водоотведение (общая информация)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1913</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1510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42982F-00E1-B84A-20E7-2D3C351EC5F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760" width="9.140625"/>
    <col min="3" max="7" style="5804" width="8.00390625" customWidth="1"/>
    <col min="8" max="12" style="5804" width="8.57421875" customWidth="1"/>
    <col min="13" max="14" style="5804" width="27.7109375" customWidth="1"/>
    <col min="15" max="19" style="5804" width="5.140625" customWidth="1"/>
    <col min="20" max="24" style="5804" width="27.7109375" customWidth="1"/>
    <col min="25" max="25" style="5805" width="1.8515625" customWidth="1"/>
    <col min="26" max="26" style="5760" width="27.7109375" customWidth="1"/>
    <col min="27" max="27" style="5806" width="27.7109375" customWidth="1"/>
    <col min="28" max="29" style="5760" width="27.7109375" customWidth="1"/>
    <col min="30" max="30" style="5760" width="3.8515625" customWidth="1"/>
    <col min="31" max="34" style="5760" width="9.140625"/>
  </cols>
  <sheetData>
    <row s="5762"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715</v>
      </c>
      <c r="D2" s="847" t="s">
        <v>761</v>
      </c>
      <c r="E2" s="847" t="s">
        <v>813</v>
      </c>
      <c r="F2" s="847" t="s">
        <v>799</v>
      </c>
      <c r="G2" s="847" t="s">
        <v>1622</v>
      </c>
      <c r="H2" s="849"/>
      <c r="I2" s="849"/>
      <c r="J2" s="849"/>
      <c r="K2" s="849"/>
      <c r="L2" s="849"/>
      <c r="M2" s="849"/>
      <c r="N2" s="849"/>
      <c r="O2" s="847" t="s">
        <v>715</v>
      </c>
      <c r="P2" s="847" t="s">
        <v>761</v>
      </c>
      <c r="Q2" s="847" t="s">
        <v>799</v>
      </c>
      <c r="R2" s="847" t="s">
        <v>813</v>
      </c>
      <c r="S2" s="847" t="s">
        <v>1622</v>
      </c>
      <c r="T2" s="847" t="s">
        <v>715</v>
      </c>
      <c r="U2" s="847" t="s">
        <v>761</v>
      </c>
      <c r="V2" s="847" t="s">
        <v>799</v>
      </c>
      <c r="W2" s="847" t="s">
        <v>813</v>
      </c>
      <c r="X2" s="847" t="s">
        <v>1622</v>
      </c>
      <c r="Y2" s="847"/>
      <c r="Z2" s="847" t="s">
        <v>715</v>
      </c>
      <c r="AA2" s="856" t="s">
        <v>761</v>
      </c>
      <c r="AB2" s="847" t="s">
        <v>799</v>
      </c>
      <c r="AC2" s="847" t="s">
        <v>813</v>
      </c>
      <c r="AD2" s="847" t="s">
        <v>1622</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1560</v>
      </c>
      <c r="D11" s="2431" t="s">
        <v>1556</v>
      </c>
      <c r="E11" s="2431" t="s">
        <v>1655</v>
      </c>
      <c r="F11" s="2431" t="s">
        <v>1927</v>
      </c>
      <c r="G11" s="2431"/>
      <c r="H11" s="904" t="s">
        <v>1928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615</v>
      </c>
      <c r="P20" s="964" t="s">
        <v>615</v>
      </c>
      <c r="Q20" s="964" t="s">
        <v>615</v>
      </c>
      <c r="R20" s="964" t="s">
        <v>615</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297</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635</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642</v>
      </c>
      <c r="R25" s="964" t="s">
        <v>297</v>
      </c>
      <c r="S25" s="964"/>
      <c r="T25" s="971" t="s">
        <v>1965</v>
      </c>
      <c r="U25" s="852" t="s">
        <v>1965</v>
      </c>
      <c r="V25" s="852" t="s">
        <v>1965</v>
      </c>
      <c r="W25" s="852" t="s">
        <v>1965</v>
      </c>
      <c r="X25" s="849"/>
      <c r="Y25" s="1007"/>
      <c r="Z25" s="852"/>
      <c r="AA25" s="855"/>
      <c r="AB25" s="852"/>
      <c r="AC25" s="852"/>
      <c r="AD25" s="852"/>
    </row>
    <row customHeight="1" ht="18">
      <c r="A26" s="851"/>
      <c r="B26" s="905">
        <v>9</v>
      </c>
      <c r="C26" s="849" t="s">
        <v>811</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631</v>
      </c>
      <c r="P26" s="964" t="s">
        <v>625</v>
      </c>
      <c r="Q26" s="964" t="s">
        <v>1966</v>
      </c>
      <c r="R26" s="964" t="s">
        <v>625</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633</v>
      </c>
      <c r="P27" s="964" t="s">
        <v>627</v>
      </c>
      <c r="Q27" s="964" t="s">
        <v>1969</v>
      </c>
      <c r="R27" s="964" t="s">
        <v>627</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635</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642</v>
      </c>
      <c r="P29" s="964" t="s">
        <v>300</v>
      </c>
      <c r="Q29" s="964"/>
      <c r="R29" s="964" t="s">
        <v>300</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644</v>
      </c>
      <c r="P30" s="964" t="s">
        <v>635</v>
      </c>
      <c r="Q30" s="964" t="s">
        <v>644</v>
      </c>
      <c r="R30" s="964" t="s">
        <v>635</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1976</v>
      </c>
      <c r="P31" s="964" t="s">
        <v>638</v>
      </c>
      <c r="Q31" s="964" t="s">
        <v>1976</v>
      </c>
      <c r="R31" s="964" t="s">
        <v>638</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640</v>
      </c>
      <c r="Q32" s="964" t="s">
        <v>1979</v>
      </c>
      <c r="R32" s="964" t="s">
        <v>640</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646</v>
      </c>
      <c r="P33" s="964" t="s">
        <v>642</v>
      </c>
      <c r="Q33" s="964" t="s">
        <v>646</v>
      </c>
      <c r="R33" s="964" t="s">
        <v>642</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648</v>
      </c>
      <c r="P36" s="964" t="s">
        <v>644</v>
      </c>
      <c r="Q36" s="964" t="s">
        <v>648</v>
      </c>
      <c r="R36" s="964" t="s">
        <v>644</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652</v>
      </c>
      <c r="P39" s="964" t="s">
        <v>646</v>
      </c>
      <c r="Q39" s="964" t="s">
        <v>652</v>
      </c>
      <c r="R39" s="964" t="s">
        <v>646</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648</v>
      </c>
      <c r="Q40" s="964" t="s">
        <v>2002</v>
      </c>
      <c r="R40" s="964" t="s">
        <v>648</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2013</v>
      </c>
      <c r="P43" s="964" t="s">
        <v>652</v>
      </c>
      <c r="Q43" s="964" t="s">
        <v>2013</v>
      </c>
      <c r="R43" s="964" t="s">
        <v>652</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2045</v>
      </c>
      <c r="U52" s="849" t="s">
        <v>2046</v>
      </c>
      <c r="V52" s="849" t="s">
        <v>2047</v>
      </c>
      <c r="W52" s="849" t="s">
        <v>2048</v>
      </c>
      <c r="X52" s="849"/>
      <c r="Y52" s="1007"/>
      <c r="Z52" s="852" t="s">
        <v>656</v>
      </c>
      <c r="AA52" s="855" t="s">
        <v>656</v>
      </c>
      <c r="AB52" s="855" t="s">
        <v>656</v>
      </c>
      <c r="AC52" s="855" t="s">
        <v>656</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660</v>
      </c>
      <c r="P53" s="964" t="s">
        <v>316</v>
      </c>
      <c r="Q53" s="964" t="s">
        <v>316</v>
      </c>
      <c r="R53" s="964" t="s">
        <v>316</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658</v>
      </c>
      <c r="U54" s="849" t="s">
        <v>658</v>
      </c>
      <c r="V54" s="849" t="s">
        <v>658</v>
      </c>
      <c r="W54" s="849" t="s">
        <v>658</v>
      </c>
      <c r="X54" s="849"/>
      <c r="Y54" s="1007"/>
      <c r="Z54" s="852" t="s">
        <v>659</v>
      </c>
      <c r="AA54" s="852" t="s">
        <v>659</v>
      </c>
      <c r="AB54" s="852" t="s">
        <v>659</v>
      </c>
      <c r="AC54" s="852" t="s">
        <v>659</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660</v>
      </c>
      <c r="Q55" s="964" t="s">
        <v>660</v>
      </c>
      <c r="R55" s="964" t="s">
        <v>660</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929</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663</v>
      </c>
      <c r="Q56" s="964" t="s">
        <v>663</v>
      </c>
      <c r="R56" s="964" t="s">
        <v>663</v>
      </c>
      <c r="S56" s="964"/>
      <c r="T56" s="849" t="s">
        <v>2053</v>
      </c>
      <c r="U56" s="849" t="s">
        <v>2054</v>
      </c>
      <c r="V56" s="849" t="s">
        <v>2054</v>
      </c>
      <c r="W56" s="849" t="s">
        <v>2054</v>
      </c>
      <c r="X56" s="849"/>
      <c r="Y56" s="1007"/>
      <c r="Z56" s="852" t="s">
        <v>665</v>
      </c>
      <c r="AA56" s="852" t="s">
        <v>665</v>
      </c>
      <c r="AB56" s="852" t="s">
        <v>665</v>
      </c>
      <c r="AC56" s="852" t="s">
        <v>665</v>
      </c>
      <c r="AD56" s="852"/>
    </row>
    <row customHeight="1" ht="27">
      <c r="A57" s="851"/>
      <c r="B57" s="905">
        <v>40</v>
      </c>
      <c r="C57" s="849" t="s">
        <v>931</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666</v>
      </c>
      <c r="Q57" s="964" t="s">
        <v>666</v>
      </c>
      <c r="R57" s="964" t="s">
        <v>666</v>
      </c>
      <c r="S57" s="964"/>
      <c r="T57" s="849" t="s">
        <v>2056</v>
      </c>
      <c r="U57" s="849" t="s">
        <v>2057</v>
      </c>
      <c r="V57" s="849" t="s">
        <v>2057</v>
      </c>
      <c r="W57" s="849" t="s">
        <v>2057</v>
      </c>
      <c r="X57" s="849"/>
      <c r="Y57" s="1007"/>
      <c r="Z57" s="852" t="s">
        <v>668</v>
      </c>
      <c r="AA57" s="852" t="s">
        <v>668</v>
      </c>
      <c r="AB57" s="852" t="s">
        <v>668</v>
      </c>
      <c r="AC57" s="852" t="s">
        <v>668</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307</v>
      </c>
      <c r="P58" s="964" t="s">
        <v>703</v>
      </c>
      <c r="Q58" s="964" t="s">
        <v>703</v>
      </c>
      <c r="R58" s="964" t="s">
        <v>703</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109</v>
      </c>
      <c r="Q59" s="964" t="s">
        <v>109</v>
      </c>
      <c r="R59" s="964" t="s">
        <v>109</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672</v>
      </c>
      <c r="U60" s="849" t="s">
        <v>672</v>
      </c>
      <c r="V60" s="849" t="s">
        <v>672</v>
      </c>
      <c r="W60" s="849" t="s">
        <v>672</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91</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110</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146</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1467</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1467</v>
      </c>
      <c r="P95" s="964"/>
      <c r="Q95" s="964"/>
      <c r="R95" s="964"/>
      <c r="S95" s="964"/>
      <c r="T95" s="849" t="s">
        <v>2123</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1473</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1484</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1498</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1510</v>
      </c>
      <c r="P99" s="964"/>
      <c r="Q99" s="964"/>
      <c r="R99" s="964"/>
      <c r="S99" s="964"/>
      <c r="T99" s="849" t="s">
        <v>2132</v>
      </c>
      <c r="U99" s="849"/>
      <c r="V99" s="849"/>
      <c r="W99" s="849"/>
      <c r="X99" s="849"/>
      <c r="Y99" s="1007"/>
      <c r="Z99" s="852" t="s">
        <v>796</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2133</v>
      </c>
      <c r="P100" s="964"/>
      <c r="Q100" s="964"/>
      <c r="R100" s="964"/>
      <c r="S100" s="964"/>
      <c r="T100" s="849" t="s">
        <v>2134</v>
      </c>
      <c r="U100" s="849"/>
      <c r="V100" s="849"/>
      <c r="W100" s="849"/>
      <c r="X100" s="849"/>
      <c r="Y100" s="1007"/>
      <c r="Z100" s="852" t="s">
        <v>796</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2135</v>
      </c>
      <c r="P101" s="964"/>
      <c r="Q101" s="964"/>
      <c r="R101" s="964"/>
      <c r="S101" s="964"/>
      <c r="T101" s="849" t="s">
        <v>2136</v>
      </c>
      <c r="U101" s="849"/>
      <c r="V101" s="849"/>
      <c r="W101" s="849"/>
      <c r="X101" s="849"/>
      <c r="Y101" s="1007"/>
      <c r="Z101" s="852" t="s">
        <v>796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2137</v>
      </c>
      <c r="D148" s="849" t="s">
        <v>1565</v>
      </c>
      <c r="E148" s="849" t="s">
        <v>1666</v>
      </c>
      <c r="F148" s="849" t="s">
        <v>2138</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A44EF-4159-B878-D9D3-9E4BDA94D3F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27" width="10.57421875" hidden="1"/>
    <col min="2" max="2" style="3327" width="11.00390625" hidden="1" customWidth="1"/>
    <col min="3" max="3" style="3327" width="10.57421875" hidden="1"/>
    <col min="4" max="4" style="3327" width="11.8515625" hidden="1" customWidth="1"/>
    <col min="5" max="5" style="3327" width="12.28125" hidden="1" customWidth="1"/>
    <col min="6" max="8" style="3329" width="12.28125" hidden="1" customWidth="1"/>
    <col min="9" max="9" style="5845" width="3.7109375" customWidth="1"/>
    <col min="10" max="11" style="3406" width="3.7109375" customWidth="1"/>
    <col min="12" max="12" style="3407" width="12.7109375" customWidth="1"/>
    <col min="13" max="13" style="2975" width="32.00390625" customWidth="1"/>
    <col min="14" max="14" style="2975" width="1.7109375" customWidth="1"/>
    <col min="15" max="18" style="2975" width="24.7109375" customWidth="1"/>
    <col min="19" max="19" style="2975" width="11.7109375" customWidth="1"/>
    <col min="20" max="20" style="2975" width="3.7109375" customWidth="1"/>
    <col min="21" max="21" style="2975" width="11.7109375" customWidth="1"/>
    <col min="22" max="22" style="2975" width="8.57421875" customWidth="1"/>
    <col min="23" max="23" style="2975" width="4.7109375" customWidth="1"/>
    <col min="24" max="24" style="2975"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МУП "Водоканал"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0"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промышленности, экономического развития и торговли Республики Марий Эл</v>
      </c>
      <c r="P8" s="2100"/>
      <c r="Q8" s="2100"/>
      <c r="R8" s="2100"/>
      <c r="S8" s="2100"/>
      <c r="T8" s="2100"/>
      <c r="U8" s="2100"/>
      <c r="V8" s="322"/>
      <c r="W8" s="322"/>
      <c r="X8" s="268"/>
      <c r="Y8" s="368"/>
      <c r="Z8" s="368"/>
      <c r="AA8" s="368"/>
      <c r="AB8" s="368"/>
      <c r="AC8" s="368"/>
    </row>
    <row s="3340" customFormat="1" customHeight="1" ht="22.5">
      <c r="A9" s="1398"/>
      <c r="B9" s="1398"/>
      <c r="C9" s="1398"/>
      <c r="D9" s="1398"/>
      <c r="E9" s="1398"/>
      <c r="F9" s="1398"/>
      <c r="G9" s="1398"/>
      <c r="H9" s="1398"/>
      <c r="L9" s="1306"/>
      <c r="M9" s="283" t="s">
        <v>413</v>
      </c>
      <c r="N9" s="292"/>
      <c r="O9" s="2100" t="str">
        <f>IF(TITLE_DATE_CHANGE_PERIOD="",IF(TITLE_DATE_PR="","",TITLE_DATE_PR),TITLE_DATE_CHANGE_PERIOD)</f>
        <v>45275.50763888889</v>
      </c>
      <c r="P9" s="2100"/>
      <c r="Q9" s="2100"/>
      <c r="R9" s="2100"/>
      <c r="S9" s="2100"/>
      <c r="T9" s="2100"/>
      <c r="U9" s="2100"/>
      <c r="V9" s="322"/>
      <c r="W9" s="322"/>
      <c r="X9" s="268"/>
      <c r="Y9" s="368"/>
      <c r="Z9" s="368"/>
      <c r="AA9" s="368"/>
      <c r="AB9" s="368"/>
      <c r="AC9" s="368"/>
    </row>
    <row s="3340"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52т, 102т</v>
      </c>
      <c r="P10" s="2100"/>
      <c r="Q10" s="2100"/>
      <c r="R10" s="2100"/>
      <c r="S10" s="2100"/>
      <c r="T10" s="2100"/>
      <c r="U10" s="2100"/>
      <c r="V10" s="322"/>
      <c r="W10" s="322"/>
      <c r="X10" s="268"/>
      <c r="Y10" s="368"/>
      <c r="Z10" s="368"/>
      <c r="AA10" s="368"/>
      <c r="AB10" s="368"/>
      <c r="AC10" s="368"/>
    </row>
    <row s="3340"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https://mari-el.gov.ru/ministries/mecon/tarif/pages/resheniya-ob-ustanovlenii-tarifov-vodosnabzhenie-vodootvedenie-utilizatsiya-tbo/#close</v>
      </c>
      <c r="P11" s="2100"/>
      <c r="Q11" s="2100"/>
      <c r="R11" s="2100"/>
      <c r="S11" s="2100"/>
      <c r="T11" s="2100"/>
      <c r="U11" s="2100"/>
      <c r="V11" s="322"/>
      <c r="W11" s="322"/>
      <c r="X11" s="268"/>
      <c r="Y11" s="368"/>
      <c r="Z11" s="368"/>
      <c r="AA11" s="368"/>
      <c r="AB11" s="368"/>
      <c r="AC11" s="368"/>
    </row>
    <row s="3340"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418</v>
      </c>
      <c r="N15" s="289"/>
      <c r="O15" s="2126" t="s">
        <v>2142</v>
      </c>
      <c r="P15" s="2127"/>
      <c r="Q15" s="2127"/>
      <c r="R15" s="2127"/>
      <c r="S15" s="2127"/>
      <c r="T15" s="2127"/>
      <c r="U15" s="2128"/>
      <c r="V15" s="2129" t="s">
        <v>420</v>
      </c>
      <c r="W15" s="2132" t="s">
        <v>1060</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402</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320" customFormat="1" customHeight="1" ht="11.25">
      <c r="A33" s="1393"/>
      <c r="B33" s="1393"/>
      <c r="C33" s="1393"/>
      <c r="D33" s="1393"/>
      <c r="E33" s="1393" t="s">
        <v>256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711</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51AF1-2233-8112-E5AF-A5B442C671C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5" width="11.57421875" customWidth="1"/>
    <col min="2" max="2" style="2975" width="10.7109375" customWidth="1"/>
    <col min="3" max="3" style="2975" width="10.00390625" customWidth="1"/>
    <col min="4" max="4" style="2975" width="12.8515625" customWidth="1"/>
    <col min="5" max="5" style="2975" width="12.28125" customWidth="1"/>
    <col min="6" max="8" style="5845" width="12.28125" customWidth="1"/>
    <col min="9" max="9" style="5845" width="3.7109375" customWidth="1"/>
    <col min="10" max="11" style="3406" width="3.7109375" customWidth="1"/>
    <col min="12" max="12" style="3407" width="12.7109375" customWidth="1"/>
    <col min="13" max="13" style="2975" width="32.00390625" customWidth="1"/>
    <col min="14" max="14" style="2975" width="1.7109375" customWidth="1"/>
    <col min="15" max="18" style="2975" width="24.7109375" customWidth="1"/>
    <col min="19" max="19" style="2975" width="11.7109375" customWidth="1"/>
    <col min="20" max="20" style="2975" width="3.7109375" customWidth="1"/>
    <col min="21" max="21" style="2975" width="11.7109375" customWidth="1"/>
    <col min="22" max="22" style="2975" width="8.57421875" customWidth="1"/>
    <col min="23" max="23" style="2975" width="4.7109375" customWidth="1"/>
    <col min="24" max="24" style="2975"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МУП "Водоканал"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0" customFormat="1" customHeight="1" ht="45">
      <c r="F8" s="1267"/>
      <c r="G8" s="1267"/>
      <c r="H8" s="1267"/>
      <c r="L8" s="1306"/>
      <c r="M8" s="283" t="s">
        <v>38</v>
      </c>
      <c r="N8" s="292"/>
      <c r="O8" s="2100" t="str">
        <f>IF(TITLE_NAME_OR_PR_CHANGE="",IF(TITLE_NAME_OR_PR="","",TITLE_NAME_OR_PR),TITLE_NAME_OR_PR_CHANGE)</f>
        <v>Министерство промышленности, экономического развития и торговли Республики Марий Эл</v>
      </c>
      <c r="P8" s="2100"/>
      <c r="Q8" s="2100"/>
      <c r="R8" s="2100"/>
      <c r="S8" s="2100"/>
      <c r="T8" s="2100"/>
      <c r="U8" s="2100"/>
      <c r="V8" s="322"/>
      <c r="W8" s="322"/>
      <c r="X8" s="268"/>
      <c r="Y8" s="368"/>
      <c r="Z8" s="368"/>
      <c r="AA8" s="368"/>
      <c r="AB8" s="368"/>
      <c r="AC8" s="368"/>
    </row>
    <row s="3340" customFormat="1" customHeight="1" ht="22.5">
      <c r="F9" s="1267"/>
      <c r="G9" s="1267"/>
      <c r="H9" s="1267"/>
      <c r="L9" s="1306"/>
      <c r="M9" s="283" t="s">
        <v>413</v>
      </c>
      <c r="N9" s="292"/>
      <c r="O9" s="2100" t="str">
        <f>IF(TITLE_DATE_CHANGE_PERIOD="",IF(TITLE_DATE_PR="","",TITLE_DATE_PR),TITLE_DATE_CHANGE_PERIOD)</f>
        <v>45275.50763888889</v>
      </c>
      <c r="P9" s="2100"/>
      <c r="Q9" s="2100"/>
      <c r="R9" s="2100"/>
      <c r="S9" s="2100"/>
      <c r="T9" s="2100"/>
      <c r="U9" s="2100"/>
      <c r="V9" s="322"/>
      <c r="W9" s="322"/>
      <c r="X9" s="268"/>
      <c r="Y9" s="368"/>
      <c r="Z9" s="368"/>
      <c r="AA9" s="368"/>
      <c r="AB9" s="368"/>
      <c r="AC9" s="368"/>
    </row>
    <row s="3340" customFormat="1" customHeight="1" ht="22.5">
      <c r="F10" s="1267"/>
      <c r="G10" s="1267"/>
      <c r="H10" s="1267"/>
      <c r="L10" s="1269"/>
      <c r="M10" s="283" t="s">
        <v>414</v>
      </c>
      <c r="N10" s="292"/>
      <c r="O10" s="2100" t="str">
        <f>IF(TITLE_NUMBER_PR_CHANGE="",IF(TITLE_NUMBER_PR="","",TITLE_NUMBER_PR),TITLE_NUMBER_PR_CHANGE)</f>
        <v>52т, 102т</v>
      </c>
      <c r="P10" s="2100"/>
      <c r="Q10" s="2100"/>
      <c r="R10" s="2100"/>
      <c r="S10" s="2100"/>
      <c r="T10" s="2100"/>
      <c r="U10" s="2100"/>
      <c r="V10" s="322"/>
      <c r="W10" s="322"/>
      <c r="X10" s="268"/>
      <c r="Y10" s="368"/>
      <c r="Z10" s="368"/>
      <c r="AA10" s="368"/>
      <c r="AB10" s="368"/>
      <c r="AC10" s="368"/>
    </row>
    <row s="3340" customFormat="1" customHeight="1" ht="22.5">
      <c r="F11" s="1267"/>
      <c r="G11" s="1267"/>
      <c r="H11" s="1267"/>
      <c r="L11" s="1269"/>
      <c r="M11" s="283" t="s">
        <v>40</v>
      </c>
      <c r="N11" s="292"/>
      <c r="O11" s="2100" t="str">
        <f>IF(TITLE_IST_PUB_CHANGE="",IF(TITLE_IST_PUB="","",TITLE_IST_PUB),TITLE_IST_PUB_CHANGE)</f>
        <v>https://mari-el.gov.ru/ministries/mecon/tarif/pages/resheniya-ob-ustanovlenii-tarifov-vodosnabzhenie-vodootvedenie-utilizatsiya-tbo/#close</v>
      </c>
      <c r="P11" s="2100"/>
      <c r="Q11" s="2100"/>
      <c r="R11" s="2100"/>
      <c r="S11" s="2100"/>
      <c r="T11" s="2100"/>
      <c r="U11" s="2100"/>
      <c r="V11" s="322"/>
      <c r="W11" s="322"/>
      <c r="X11" s="268"/>
      <c r="Y11" s="368"/>
      <c r="Z11" s="368"/>
      <c r="AA11" s="368"/>
      <c r="AB11" s="368"/>
      <c r="AC11" s="368"/>
    </row>
    <row s="3340"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418</v>
      </c>
      <c r="N15" s="289"/>
      <c r="O15" s="2126" t="s">
        <v>2142</v>
      </c>
      <c r="P15" s="2127"/>
      <c r="Q15" s="2127"/>
      <c r="R15" s="2127"/>
      <c r="S15" s="2127"/>
      <c r="T15" s="2127"/>
      <c r="U15" s="2128"/>
      <c r="V15" s="2129" t="s">
        <v>420</v>
      </c>
      <c r="W15" s="2132" t="s">
        <v>1060</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402</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320" customFormat="1" customHeight="1" ht="11.25">
      <c r="A33" s="1296"/>
      <c r="B33" s="1296"/>
      <c r="C33" s="1296"/>
      <c r="D33" s="1296"/>
      <c r="E33" s="1296" t="s">
        <v>256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711</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3EF23-E451-D1FE-52A4-200B7371128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5" width="10.57421875"/>
    <col min="2" max="2" style="2975" width="11.00390625" customWidth="1"/>
    <col min="3" max="3" style="2975" width="10.57421875"/>
    <col min="4" max="4" style="2975" width="11.8515625" customWidth="1"/>
    <col min="5" max="5" style="2975" width="12.28125" customWidth="1"/>
    <col min="6" max="8" style="5845" width="12.28125" customWidth="1"/>
    <col min="9" max="9" style="5845" width="3.7109375" customWidth="1"/>
    <col min="10" max="11" style="3406" width="3.7109375" customWidth="1"/>
    <col min="12" max="12" style="3407" width="12.7109375" customWidth="1"/>
    <col min="13" max="13" style="2975" width="32.00390625" customWidth="1"/>
    <col min="14" max="14" style="2975" width="1.7109375" customWidth="1"/>
    <col min="15" max="18" style="2975" width="24.7109375" customWidth="1"/>
    <col min="19" max="19" style="2975" width="11.7109375" customWidth="1"/>
    <col min="20" max="20" style="2975" width="3.7109375" customWidth="1"/>
    <col min="21" max="21" style="2975" width="11.7109375" customWidth="1"/>
    <col min="22" max="22" style="2975" width="8.57421875" customWidth="1"/>
    <col min="23" max="23" style="2975" width="4.7109375" customWidth="1"/>
    <col min="24" max="24" style="2975"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МУП "Водоканал"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0" customFormat="1" customHeight="1" ht="45">
      <c r="F8" s="1267"/>
      <c r="G8" s="1267"/>
      <c r="H8" s="1267"/>
      <c r="L8" s="1306"/>
      <c r="M8" s="283" t="s">
        <v>38</v>
      </c>
      <c r="N8" s="292"/>
      <c r="O8" s="2100" t="str">
        <f>IF(TITLE_NAME_OR_PR_CHANGE="",IF(TITLE_NAME_OR_PR="","",TITLE_NAME_OR_PR),TITLE_NAME_OR_PR_CHANGE)</f>
        <v>Министерство промышленности, экономического развития и торговли Республики Марий Эл</v>
      </c>
      <c r="P8" s="2100"/>
      <c r="Q8" s="2100"/>
      <c r="R8" s="2100"/>
      <c r="S8" s="2100"/>
      <c r="T8" s="2100"/>
      <c r="U8" s="2100"/>
      <c r="V8" s="322"/>
      <c r="W8" s="322"/>
      <c r="X8" s="268"/>
      <c r="Y8" s="368"/>
      <c r="Z8" s="368"/>
      <c r="AA8" s="368"/>
      <c r="AB8" s="368"/>
      <c r="AC8" s="368"/>
    </row>
    <row s="3340" customFormat="1" customHeight="1" ht="22.5">
      <c r="F9" s="1267"/>
      <c r="G9" s="1267"/>
      <c r="H9" s="1267"/>
      <c r="L9" s="1306"/>
      <c r="M9" s="283" t="s">
        <v>413</v>
      </c>
      <c r="N9" s="292"/>
      <c r="O9" s="2100" t="str">
        <f>IF(TITLE_DATE_CHANGE_PERIOD="",IF(TITLE_DATE_PR="","",TITLE_DATE_PR),TITLE_DATE_CHANGE_PERIOD)</f>
        <v>45275.50763888889</v>
      </c>
      <c r="P9" s="2100"/>
      <c r="Q9" s="2100"/>
      <c r="R9" s="2100"/>
      <c r="S9" s="2100"/>
      <c r="T9" s="2100"/>
      <c r="U9" s="2100"/>
      <c r="V9" s="322"/>
      <c r="W9" s="322"/>
      <c r="X9" s="268"/>
      <c r="Y9" s="368"/>
      <c r="Z9" s="368"/>
      <c r="AA9" s="368"/>
      <c r="AB9" s="368"/>
      <c r="AC9" s="368"/>
    </row>
    <row s="3340" customFormat="1" customHeight="1" ht="22.5">
      <c r="F10" s="1267"/>
      <c r="G10" s="1267"/>
      <c r="H10" s="1267"/>
      <c r="L10" s="1269"/>
      <c r="M10" s="283" t="s">
        <v>414</v>
      </c>
      <c r="N10" s="292"/>
      <c r="O10" s="2100" t="str">
        <f>IF(TITLE_NUMBER_PR_CHANGE="",IF(TITLE_NUMBER_PR="","",TITLE_NUMBER_PR),TITLE_NUMBER_PR_CHANGE)</f>
        <v>52т, 102т</v>
      </c>
      <c r="P10" s="2100"/>
      <c r="Q10" s="2100"/>
      <c r="R10" s="2100"/>
      <c r="S10" s="2100"/>
      <c r="T10" s="2100"/>
      <c r="U10" s="2100"/>
      <c r="V10" s="322"/>
      <c r="W10" s="322"/>
      <c r="X10" s="268"/>
      <c r="Y10" s="368"/>
      <c r="Z10" s="368"/>
      <c r="AA10" s="368"/>
      <c r="AB10" s="368"/>
      <c r="AC10" s="368"/>
    </row>
    <row s="3340" customFormat="1" customHeight="1" ht="22.5">
      <c r="F11" s="1267"/>
      <c r="G11" s="1267"/>
      <c r="H11" s="1267"/>
      <c r="L11" s="1269"/>
      <c r="M11" s="283" t="s">
        <v>40</v>
      </c>
      <c r="N11" s="292"/>
      <c r="O11" s="2100" t="str">
        <f>IF(TITLE_IST_PUB_CHANGE="",IF(TITLE_IST_PUB="","",TITLE_IST_PUB),TITLE_IST_PUB_CHANGE)</f>
        <v>https://mari-el.gov.ru/ministries/mecon/tarif/pages/resheniya-ob-ustanovlenii-tarifov-vodosnabzhenie-vodootvedenie-utilizatsiya-tbo/#close</v>
      </c>
      <c r="P11" s="2100"/>
      <c r="Q11" s="2100"/>
      <c r="R11" s="2100"/>
      <c r="S11" s="2100"/>
      <c r="T11" s="2100"/>
      <c r="U11" s="2100"/>
      <c r="V11" s="322"/>
      <c r="W11" s="322"/>
      <c r="X11" s="268"/>
      <c r="Y11" s="368"/>
      <c r="Z11" s="368"/>
      <c r="AA11" s="368"/>
      <c r="AB11" s="368"/>
      <c r="AC11" s="368"/>
    </row>
    <row s="3340"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418</v>
      </c>
      <c r="N15" s="289"/>
      <c r="O15" s="2126" t="s">
        <v>2142</v>
      </c>
      <c r="P15" s="2127"/>
      <c r="Q15" s="2127"/>
      <c r="R15" s="2127"/>
      <c r="S15" s="2127"/>
      <c r="T15" s="2127"/>
      <c r="U15" s="2128"/>
      <c r="V15" s="2129" t="s">
        <v>420</v>
      </c>
      <c r="W15" s="2132" t="s">
        <v>1060</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402</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320" customFormat="1" customHeight="1" ht="11.25">
      <c r="A33" s="1296"/>
      <c r="B33" s="1296"/>
      <c r="C33" s="1296"/>
      <c r="D33" s="1296"/>
      <c r="E33" s="1296" t="s">
        <v>256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711</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E95B7-C952-A4EE-FC73-E1FE1B87085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37" width="9.140625" customWidth="1"/>
    <col min="9" max="9" style="3405" width="3.7109375" customWidth="1"/>
    <col min="10" max="11" style="3406" width="3.7109375" customWidth="1"/>
    <col min="12" max="12" style="2975" width="12.7109375" customWidth="1"/>
    <col min="13" max="13" style="2975" width="47.421875" customWidth="1"/>
    <col min="14" max="14" style="2975" width="2.7109375" hidden="1" customWidth="1"/>
    <col min="15" max="18" style="2975" width="23.7109375" customWidth="1"/>
    <col min="19" max="19" style="2975" width="11.7109375" customWidth="1"/>
    <col min="20" max="20" style="2975" width="3.7109375" customWidth="1"/>
    <col min="21" max="21" style="2975" width="11.7109375" customWidth="1"/>
    <col min="22" max="22" style="2975" width="8.57421875" hidden="1" customWidth="1"/>
    <col min="23" max="23" style="2975" width="4.7109375" customWidth="1"/>
    <col min="24" max="24" style="2975"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0"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0"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40"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40"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40"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86</v>
      </c>
      <c r="M15" s="2062" t="s">
        <v>2160</v>
      </c>
      <c r="N15" s="1232"/>
      <c r="O15" s="2062" t="s">
        <v>2161</v>
      </c>
      <c r="P15" s="2061" t="s">
        <v>2162</v>
      </c>
      <c r="Q15" s="2061" t="s">
        <v>2142</v>
      </c>
      <c r="R15" s="2061"/>
      <c r="S15" s="2061"/>
      <c r="T15" s="2061"/>
      <c r="U15" s="2061"/>
      <c r="V15" s="2062" t="s">
        <v>420</v>
      </c>
      <c r="W15" s="2447" t="s">
        <v>1060</v>
      </c>
      <c r="X15" s="1971"/>
    </row>
    <row customHeight="1" ht="25.5">
      <c r="J16" s="377"/>
      <c r="K16" s="377"/>
      <c r="L16" s="2062"/>
      <c r="M16" s="2062"/>
      <c r="N16" s="1232"/>
      <c r="O16" s="2062"/>
      <c r="P16" s="2061"/>
      <c r="Q16" s="2061" t="s">
        <v>2163</v>
      </c>
      <c r="R16" s="2061"/>
      <c r="S16" s="2153" t="s">
        <v>438</v>
      </c>
      <c r="T16" s="2153"/>
      <c r="U16" s="2153"/>
      <c r="V16" s="2062"/>
      <c r="W16" s="2447"/>
      <c r="X16" s="1971"/>
    </row>
    <row customHeight="1" ht="14.25">
      <c r="J17" s="377"/>
      <c r="K17" s="377"/>
      <c r="L17" s="2062"/>
      <c r="M17" s="2062"/>
      <c r="N17" s="1232"/>
      <c r="O17" s="2062"/>
      <c r="P17" s="2061"/>
      <c r="Q17" s="1232" t="s">
        <v>467</v>
      </c>
      <c r="R17" s="1232" t="s">
        <v>468</v>
      </c>
      <c r="S17" s="1236" t="s">
        <v>436</v>
      </c>
      <c r="T17" s="2444" t="s">
        <v>437</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5320" customFormat="1" customHeight="1" ht="14.25">
      <c r="A26" s="2111"/>
      <c r="B26" s="2111"/>
      <c r="C26" s="2111"/>
      <c r="D26" s="385"/>
      <c r="E26" s="385"/>
      <c r="F26" s="385"/>
      <c r="G26" s="386"/>
      <c r="H26" s="385"/>
      <c r="I26" s="360"/>
      <c r="J26" s="376"/>
      <c r="K26" s="378"/>
      <c r="L26" s="297"/>
      <c r="M26" s="372" t="s">
        <v>579</v>
      </c>
      <c r="N26" s="363"/>
      <c r="O26" s="317"/>
      <c r="P26" s="317"/>
      <c r="Q26" s="317"/>
      <c r="R26" s="317"/>
      <c r="S26" s="321"/>
      <c r="T26" s="367"/>
      <c r="U26" s="366"/>
      <c r="V26" s="363"/>
      <c r="W26" s="367"/>
      <c r="X26" s="1277"/>
      <c r="Y26" s="383"/>
      <c r="Z26" s="383"/>
      <c r="AA26" s="383"/>
      <c r="AB26" s="383"/>
      <c r="AC26" s="383"/>
    </row>
    <row s="5320"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5320"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5320" customFormat="1" customHeight="1" ht="14.25">
      <c r="G29" s="365"/>
      <c r="H29" s="378"/>
      <c r="I29" s="375"/>
      <c r="J29" s="376"/>
      <c r="L29" s="297"/>
      <c r="M29" s="422" t="s">
        <v>256</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3EDC2-5FF3-C54C-484F-9AC0564CFF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0F1E8-0D2A-7A4F-D4C7-3DD72863E5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A0EB4-6B36-6661-6721-3A381C696E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A8015-A498-F846-18EE-6DFEBB217F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4F196-9BC6-FD33-5D07-7FB926DBE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72647-3E1B-55D2-E4BA-EBEFADE423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514D4-3EED-9881-C22B-D60D2B561C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B2D2D-EE33-5C7D-A46B-53A1283142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2ACD5-C5EF-2F64-543A-716605B654A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1664</v>
      </c>
      <c r="C4" s="759"/>
      <c r="D4" s="770"/>
      <c r="E4" s="842"/>
    </row>
    <row customHeight="1" ht="11.25">
      <c r="A5" s="787"/>
      <c r="B5" s="772" t="s">
        <v>1658</v>
      </c>
      <c r="C5" s="762" t="s">
        <v>1906</v>
      </c>
      <c r="D5" s="886" t="s">
        <v>2171</v>
      </c>
      <c r="E5" s="842"/>
    </row>
    <row s="5320" customFormat="1" customHeight="1" ht="11.25">
      <c r="A6" s="773"/>
      <c r="B6" s="772" t="s">
        <v>1668</v>
      </c>
      <c r="C6" s="759"/>
      <c r="D6" s="770"/>
      <c r="E6" s="842"/>
    </row>
    <row customHeight="1" ht="11.25">
      <c r="A7" s="761"/>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16212-25E4-2917-8769-A3E06D5075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7444D-BE2A-6276-3E7F-A9163BB597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CC7EA-05B4-5886-1059-1B43F00368B3}" mc:Ignorable="x14ac xr xr2 xr3">
  <sheetPr>
    <tabColor rgb="FFFFCC99"/>
  </sheetPr>
  <dimension ref="A1:I247"/>
  <sheetViews>
    <sheetView topLeftCell="A1" showGridLines="0" workbookViewId="0">
      <selection activeCell="A1" sqref="A1"/>
    </sheetView>
  </sheetViews>
  <sheetFormatPr defaultColWidth="9.140625" customHeight="1" defaultRowHeight="11.25"/>
  <cols>
    <col min="1" max="2" style="5909" width="9.140625"/>
    <col min="3" max="3" style="5909" width="20.7109375" customWidth="1"/>
    <col min="4" max="4" style="5909" width="25.140625" customWidth="1"/>
    <col min="5" max="9" style="5909"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5910" t="s">
        <v>2181</v>
      </c>
      <c r="B2" s="5910" t="s">
        <v>14</v>
      </c>
      <c r="C2" s="5910" t="s">
        <v>2182</v>
      </c>
      <c r="D2" s="5910" t="s">
        <v>2183</v>
      </c>
      <c r="E2" s="5910" t="s">
        <v>2184</v>
      </c>
      <c r="F2" s="5910" t="s">
        <v>2185</v>
      </c>
      <c r="G2" s="5910" t="s">
        <v>24</v>
      </c>
      <c r="H2" s="5910" t="s">
        <v>24</v>
      </c>
      <c r="I2" s="5910" t="s">
        <v>715</v>
      </c>
    </row>
    <row customHeight="1" ht="11.25">
      <c r="A3" s="5910" t="s">
        <v>2181</v>
      </c>
      <c r="B3" s="5910" t="s">
        <v>14</v>
      </c>
      <c r="C3" s="5910" t="s">
        <v>2186</v>
      </c>
      <c r="D3" s="5910" t="s">
        <v>2183</v>
      </c>
      <c r="E3" s="5910" t="s">
        <v>2184</v>
      </c>
      <c r="F3" s="5910" t="s">
        <v>2187</v>
      </c>
      <c r="G3" s="5910" t="s">
        <v>24</v>
      </c>
      <c r="H3" s="5910" t="s">
        <v>24</v>
      </c>
      <c r="I3" s="5910" t="s">
        <v>715</v>
      </c>
    </row>
    <row customHeight="1" ht="11.25">
      <c r="A4" s="5910" t="s">
        <v>2181</v>
      </c>
      <c r="B4" s="5910" t="s">
        <v>14</v>
      </c>
      <c r="C4" s="5910" t="s">
        <v>2188</v>
      </c>
      <c r="D4" s="5910" t="s">
        <v>2189</v>
      </c>
      <c r="E4" s="5910" t="s">
        <v>2190</v>
      </c>
      <c r="F4" s="5910" t="s">
        <v>50</v>
      </c>
      <c r="G4" s="5910" t="s">
        <v>24</v>
      </c>
      <c r="H4" s="5910" t="s">
        <v>24</v>
      </c>
      <c r="I4" s="5910" t="s">
        <v>715</v>
      </c>
    </row>
    <row customHeight="1" ht="11.25">
      <c r="A5" s="5910" t="s">
        <v>2181</v>
      </c>
      <c r="B5" s="5910" t="s">
        <v>14</v>
      </c>
      <c r="C5" s="5910" t="s">
        <v>2191</v>
      </c>
      <c r="D5" s="5910" t="s">
        <v>2192</v>
      </c>
      <c r="E5" s="5910" t="s">
        <v>2193</v>
      </c>
      <c r="F5" s="5910" t="s">
        <v>2194</v>
      </c>
      <c r="G5" s="5910" t="s">
        <v>24</v>
      </c>
      <c r="H5" s="5910" t="s">
        <v>24</v>
      </c>
      <c r="I5" s="5910" t="s">
        <v>715</v>
      </c>
    </row>
    <row customHeight="1" ht="11.25">
      <c r="A6" s="5910" t="s">
        <v>2181</v>
      </c>
      <c r="B6" s="5910" t="s">
        <v>14</v>
      </c>
      <c r="C6" s="5910" t="s">
        <v>2195</v>
      </c>
      <c r="D6" s="5910" t="s">
        <v>2196</v>
      </c>
      <c r="E6" s="5910" t="s">
        <v>2197</v>
      </c>
      <c r="F6" s="5910" t="s">
        <v>50</v>
      </c>
      <c r="G6" s="5910" t="s">
        <v>24</v>
      </c>
      <c r="H6" s="5910" t="s">
        <v>2198</v>
      </c>
      <c r="I6" s="5910" t="s">
        <v>715</v>
      </c>
    </row>
    <row customHeight="1" ht="11.25">
      <c r="A7" s="5910" t="s">
        <v>2181</v>
      </c>
      <c r="B7" s="5910" t="s">
        <v>14</v>
      </c>
      <c r="C7" s="5910" t="s">
        <v>2199</v>
      </c>
      <c r="D7" s="5910" t="s">
        <v>2200</v>
      </c>
      <c r="E7" s="5910" t="s">
        <v>2201</v>
      </c>
      <c r="F7" s="5910" t="s">
        <v>2202</v>
      </c>
      <c r="G7" s="5910" t="s">
        <v>24</v>
      </c>
      <c r="H7" s="5910" t="s">
        <v>24</v>
      </c>
      <c r="I7" s="5910" t="s">
        <v>715</v>
      </c>
    </row>
    <row customHeight="1" ht="11.25">
      <c r="A8" s="5910" t="s">
        <v>2181</v>
      </c>
      <c r="B8" s="5910" t="s">
        <v>14</v>
      </c>
      <c r="C8" s="5910" t="s">
        <v>2203</v>
      </c>
      <c r="D8" s="5910" t="s">
        <v>2204</v>
      </c>
      <c r="E8" s="5910" t="s">
        <v>2205</v>
      </c>
      <c r="F8" s="5910" t="s">
        <v>2202</v>
      </c>
      <c r="G8" s="5910" t="s">
        <v>2206</v>
      </c>
      <c r="H8" s="5910" t="s">
        <v>2207</v>
      </c>
      <c r="I8" s="5910" t="s">
        <v>715</v>
      </c>
    </row>
    <row customHeight="1" ht="11.25">
      <c r="A9" s="5910" t="s">
        <v>2181</v>
      </c>
      <c r="B9" s="5910" t="s">
        <v>14</v>
      </c>
      <c r="C9" s="5910" t="s">
        <v>24</v>
      </c>
      <c r="D9" s="5910" t="s">
        <v>2208</v>
      </c>
      <c r="E9" s="5910" t="s">
        <v>2209</v>
      </c>
      <c r="F9" s="5910" t="s">
        <v>50</v>
      </c>
      <c r="G9" s="5910" t="s">
        <v>24</v>
      </c>
      <c r="H9" s="5910" t="s">
        <v>24</v>
      </c>
      <c r="I9" s="5910" t="s">
        <v>715</v>
      </c>
    </row>
    <row customHeight="1" ht="11.25">
      <c r="A10" s="5910" t="s">
        <v>2181</v>
      </c>
      <c r="B10" s="5910" t="s">
        <v>14</v>
      </c>
      <c r="C10" s="5910" t="s">
        <v>2210</v>
      </c>
      <c r="D10" s="5910" t="s">
        <v>2211</v>
      </c>
      <c r="E10" s="5910" t="s">
        <v>2212</v>
      </c>
      <c r="F10" s="5910" t="s">
        <v>2213</v>
      </c>
      <c r="G10" s="5910" t="s">
        <v>2214</v>
      </c>
      <c r="H10" s="5910" t="s">
        <v>24</v>
      </c>
      <c r="I10" s="5910" t="s">
        <v>715</v>
      </c>
    </row>
    <row customHeight="1" ht="11.25">
      <c r="A11" s="5910" t="s">
        <v>2181</v>
      </c>
      <c r="B11" s="5910" t="s">
        <v>14</v>
      </c>
      <c r="C11" s="5910" t="s">
        <v>2215</v>
      </c>
      <c r="D11" s="5910" t="s">
        <v>2216</v>
      </c>
      <c r="E11" s="5910" t="s">
        <v>2217</v>
      </c>
      <c r="F11" s="5910" t="s">
        <v>2218</v>
      </c>
      <c r="G11" s="5910" t="s">
        <v>24</v>
      </c>
      <c r="H11" s="5910" t="s">
        <v>24</v>
      </c>
      <c r="I11" s="5910" t="s">
        <v>715</v>
      </c>
    </row>
    <row customHeight="1" ht="11.25">
      <c r="A12" s="5910" t="s">
        <v>2181</v>
      </c>
      <c r="B12" s="5910" t="s">
        <v>14</v>
      </c>
      <c r="C12" s="5910" t="s">
        <v>2219</v>
      </c>
      <c r="D12" s="5910" t="s">
        <v>2220</v>
      </c>
      <c r="E12" s="5910" t="s">
        <v>2221</v>
      </c>
      <c r="F12" s="5910" t="s">
        <v>2222</v>
      </c>
      <c r="G12" s="5910" t="s">
        <v>2223</v>
      </c>
      <c r="H12" s="5910" t="s">
        <v>24</v>
      </c>
      <c r="I12" s="5910" t="s">
        <v>715</v>
      </c>
    </row>
    <row customHeight="1" ht="11.25">
      <c r="A13" s="5910" t="s">
        <v>2181</v>
      </c>
      <c r="B13" s="5910" t="s">
        <v>14</v>
      </c>
      <c r="C13" s="5910" t="s">
        <v>2224</v>
      </c>
      <c r="D13" s="5910" t="s">
        <v>2225</v>
      </c>
      <c r="E13" s="5910" t="s">
        <v>2226</v>
      </c>
      <c r="F13" s="5910" t="s">
        <v>50</v>
      </c>
      <c r="G13" s="5910" t="s">
        <v>2227</v>
      </c>
      <c r="H13" s="5910" t="s">
        <v>24</v>
      </c>
      <c r="I13" s="5910" t="s">
        <v>715</v>
      </c>
    </row>
    <row customHeight="1" ht="11.25">
      <c r="A14" s="5910" t="s">
        <v>2181</v>
      </c>
      <c r="B14" s="5910" t="s">
        <v>14</v>
      </c>
      <c r="C14" s="5910" t="s">
        <v>2228</v>
      </c>
      <c r="D14" s="5910" t="s">
        <v>2229</v>
      </c>
      <c r="E14" s="5910" t="s">
        <v>2230</v>
      </c>
      <c r="F14" s="5910" t="s">
        <v>2231</v>
      </c>
      <c r="G14" s="5910" t="s">
        <v>2232</v>
      </c>
      <c r="H14" s="5910" t="s">
        <v>24</v>
      </c>
      <c r="I14" s="5910" t="s">
        <v>715</v>
      </c>
    </row>
    <row customHeight="1" ht="11.25">
      <c r="A15" s="5910" t="s">
        <v>2181</v>
      </c>
      <c r="B15" s="5910" t="s">
        <v>14</v>
      </c>
      <c r="C15" s="5910" t="s">
        <v>2233</v>
      </c>
      <c r="D15" s="5910" t="s">
        <v>2234</v>
      </c>
      <c r="E15" s="5910" t="s">
        <v>2235</v>
      </c>
      <c r="F15" s="5910" t="s">
        <v>50</v>
      </c>
      <c r="G15" s="5910" t="s">
        <v>2236</v>
      </c>
      <c r="H15" s="5910" t="s">
        <v>24</v>
      </c>
      <c r="I15" s="5910" t="s">
        <v>715</v>
      </c>
    </row>
    <row customHeight="1" ht="11.25">
      <c r="A16" s="5910" t="s">
        <v>2181</v>
      </c>
      <c r="B16" s="5910" t="s">
        <v>14</v>
      </c>
      <c r="C16" s="5910" t="s">
        <v>2237</v>
      </c>
      <c r="D16" s="5910" t="s">
        <v>2238</v>
      </c>
      <c r="E16" s="5910" t="s">
        <v>2239</v>
      </c>
      <c r="F16" s="5910" t="s">
        <v>2240</v>
      </c>
      <c r="G16" s="5910" t="s">
        <v>2241</v>
      </c>
      <c r="H16" s="5910" t="s">
        <v>24</v>
      </c>
      <c r="I16" s="5910" t="s">
        <v>715</v>
      </c>
    </row>
    <row customHeight="1" ht="11.25">
      <c r="A17" s="5910" t="s">
        <v>2181</v>
      </c>
      <c r="B17" s="5910" t="s">
        <v>14</v>
      </c>
      <c r="C17" s="5910" t="s">
        <v>2242</v>
      </c>
      <c r="D17" s="5910" t="s">
        <v>2243</v>
      </c>
      <c r="E17" s="5910" t="s">
        <v>2244</v>
      </c>
      <c r="F17" s="5910" t="s">
        <v>2245</v>
      </c>
      <c r="G17" s="5910" t="s">
        <v>24</v>
      </c>
      <c r="H17" s="5910" t="s">
        <v>24</v>
      </c>
      <c r="I17" s="5910" t="s">
        <v>715</v>
      </c>
    </row>
    <row customHeight="1" ht="11.25">
      <c r="A18" s="5910" t="s">
        <v>2181</v>
      </c>
      <c r="B18" s="5910" t="s">
        <v>14</v>
      </c>
      <c r="C18" s="5910" t="s">
        <v>2246</v>
      </c>
      <c r="D18" s="5910" t="s">
        <v>2247</v>
      </c>
      <c r="E18" s="5910" t="s">
        <v>2248</v>
      </c>
      <c r="F18" s="5910" t="s">
        <v>2249</v>
      </c>
      <c r="G18" s="5910" t="s">
        <v>2250</v>
      </c>
      <c r="H18" s="5910" t="s">
        <v>24</v>
      </c>
      <c r="I18" s="5910" t="s">
        <v>715</v>
      </c>
    </row>
    <row customHeight="1" ht="11.25">
      <c r="A19" s="5910" t="s">
        <v>2181</v>
      </c>
      <c r="B19" s="5910" t="s">
        <v>14</v>
      </c>
      <c r="C19" s="5910" t="s">
        <v>2251</v>
      </c>
      <c r="D19" s="5910" t="s">
        <v>2252</v>
      </c>
      <c r="E19" s="5910" t="s">
        <v>2253</v>
      </c>
      <c r="F19" s="5910" t="s">
        <v>50</v>
      </c>
      <c r="G19" s="5910" t="s">
        <v>2254</v>
      </c>
      <c r="H19" s="5910" t="s">
        <v>24</v>
      </c>
      <c r="I19" s="5910" t="s">
        <v>715</v>
      </c>
    </row>
    <row customHeight="1" ht="11.25">
      <c r="A20" s="5910" t="s">
        <v>2181</v>
      </c>
      <c r="B20" s="5910" t="s">
        <v>14</v>
      </c>
      <c r="C20" s="5910" t="s">
        <v>2255</v>
      </c>
      <c r="D20" s="5910" t="s">
        <v>2256</v>
      </c>
      <c r="E20" s="5910" t="s">
        <v>2257</v>
      </c>
      <c r="F20" s="5910" t="s">
        <v>50</v>
      </c>
      <c r="G20" s="5910" t="s">
        <v>2258</v>
      </c>
      <c r="H20" s="5910" t="s">
        <v>24</v>
      </c>
      <c r="I20" s="5910" t="s">
        <v>715</v>
      </c>
    </row>
    <row customHeight="1" ht="11.25">
      <c r="A21" s="5910" t="s">
        <v>2181</v>
      </c>
      <c r="B21" s="5910" t="s">
        <v>14</v>
      </c>
      <c r="C21" s="5910" t="s">
        <v>2259</v>
      </c>
      <c r="D21" s="5910" t="s">
        <v>2260</v>
      </c>
      <c r="E21" s="5910" t="s">
        <v>2261</v>
      </c>
      <c r="F21" s="5910" t="s">
        <v>50</v>
      </c>
      <c r="G21" s="5910" t="s">
        <v>24</v>
      </c>
      <c r="H21" s="5910" t="s">
        <v>24</v>
      </c>
      <c r="I21" s="5910" t="s">
        <v>715</v>
      </c>
    </row>
    <row customHeight="1" ht="11.25">
      <c r="A22" s="5910" t="s">
        <v>2181</v>
      </c>
      <c r="B22" s="5910" t="s">
        <v>14</v>
      </c>
      <c r="C22" s="5910" t="s">
        <v>2262</v>
      </c>
      <c r="D22" s="5910" t="s">
        <v>2263</v>
      </c>
      <c r="E22" s="5910" t="s">
        <v>2264</v>
      </c>
      <c r="F22" s="5910" t="s">
        <v>2265</v>
      </c>
      <c r="G22" s="5910" t="s">
        <v>2266</v>
      </c>
      <c r="H22" s="5910" t="s">
        <v>24</v>
      </c>
      <c r="I22" s="5910" t="s">
        <v>715</v>
      </c>
    </row>
    <row customHeight="1" ht="11.25">
      <c r="A23" s="5910" t="s">
        <v>2181</v>
      </c>
      <c r="B23" s="5910" t="s">
        <v>14</v>
      </c>
      <c r="C23" s="5910" t="s">
        <v>2267</v>
      </c>
      <c r="D23" s="5910" t="s">
        <v>2268</v>
      </c>
      <c r="E23" s="5910" t="s">
        <v>2269</v>
      </c>
      <c r="F23" s="5910" t="s">
        <v>50</v>
      </c>
      <c r="G23" s="5910" t="s">
        <v>2270</v>
      </c>
      <c r="H23" s="5910" t="s">
        <v>24</v>
      </c>
      <c r="I23" s="5910" t="s">
        <v>715</v>
      </c>
    </row>
    <row customHeight="1" ht="11.25">
      <c r="A24" s="5910" t="s">
        <v>2181</v>
      </c>
      <c r="B24" s="5910" t="s">
        <v>14</v>
      </c>
      <c r="C24" s="5910" t="s">
        <v>2271</v>
      </c>
      <c r="D24" s="5910" t="s">
        <v>2272</v>
      </c>
      <c r="E24" s="5910" t="s">
        <v>2273</v>
      </c>
      <c r="F24" s="5910" t="s">
        <v>50</v>
      </c>
      <c r="G24" s="5910" t="s">
        <v>24</v>
      </c>
      <c r="H24" s="5910" t="s">
        <v>24</v>
      </c>
      <c r="I24" s="5910" t="s">
        <v>715</v>
      </c>
    </row>
    <row customHeight="1" ht="11.25">
      <c r="A25" s="5910" t="s">
        <v>2181</v>
      </c>
      <c r="B25" s="5910" t="s">
        <v>14</v>
      </c>
      <c r="C25" s="5910" t="s">
        <v>2274</v>
      </c>
      <c r="D25" s="5910" t="s">
        <v>2275</v>
      </c>
      <c r="E25" s="5910" t="s">
        <v>2276</v>
      </c>
      <c r="F25" s="5910" t="s">
        <v>2277</v>
      </c>
      <c r="G25" s="5910" t="s">
        <v>24</v>
      </c>
      <c r="H25" s="5910" t="s">
        <v>24</v>
      </c>
      <c r="I25" s="5910" t="s">
        <v>715</v>
      </c>
    </row>
    <row customHeight="1" ht="11.25">
      <c r="A26" s="5910" t="s">
        <v>2181</v>
      </c>
      <c r="B26" s="5910" t="s">
        <v>14</v>
      </c>
      <c r="C26" s="5910" t="s">
        <v>2278</v>
      </c>
      <c r="D26" s="5910" t="s">
        <v>2279</v>
      </c>
      <c r="E26" s="5910" t="s">
        <v>2280</v>
      </c>
      <c r="F26" s="5910" t="s">
        <v>2218</v>
      </c>
      <c r="G26" s="5910" t="s">
        <v>2281</v>
      </c>
      <c r="H26" s="5910" t="s">
        <v>24</v>
      </c>
      <c r="I26" s="5910" t="s">
        <v>715</v>
      </c>
    </row>
    <row customHeight="1" ht="11.25">
      <c r="A27" s="5910" t="s">
        <v>2181</v>
      </c>
      <c r="B27" s="5910" t="s">
        <v>14</v>
      </c>
      <c r="C27" s="5910" t="s">
        <v>2282</v>
      </c>
      <c r="D27" s="5910" t="s">
        <v>2283</v>
      </c>
      <c r="E27" s="5910" t="s">
        <v>2284</v>
      </c>
      <c r="F27" s="5910" t="s">
        <v>50</v>
      </c>
      <c r="G27" s="5910" t="s">
        <v>2285</v>
      </c>
      <c r="H27" s="5910" t="s">
        <v>24</v>
      </c>
      <c r="I27" s="5910" t="s">
        <v>715</v>
      </c>
    </row>
    <row customHeight="1" ht="11.25">
      <c r="A28" s="5910" t="s">
        <v>2181</v>
      </c>
      <c r="B28" s="5910" t="s">
        <v>14</v>
      </c>
      <c r="C28" s="5910" t="s">
        <v>2286</v>
      </c>
      <c r="D28" s="5910" t="s">
        <v>2287</v>
      </c>
      <c r="E28" s="5910" t="s">
        <v>2288</v>
      </c>
      <c r="F28" s="5910" t="s">
        <v>2289</v>
      </c>
      <c r="G28" s="5910" t="s">
        <v>24</v>
      </c>
      <c r="H28" s="5910" t="s">
        <v>24</v>
      </c>
      <c r="I28" s="5910" t="s">
        <v>715</v>
      </c>
    </row>
    <row customHeight="1" ht="11.25">
      <c r="A29" s="5910" t="s">
        <v>2181</v>
      </c>
      <c r="B29" s="5910" t="s">
        <v>14</v>
      </c>
      <c r="C29" s="5910" t="s">
        <v>2290</v>
      </c>
      <c r="D29" s="5910" t="s">
        <v>2291</v>
      </c>
      <c r="E29" s="5910" t="s">
        <v>2292</v>
      </c>
      <c r="F29" s="5910" t="s">
        <v>2293</v>
      </c>
      <c r="G29" s="5910" t="s">
        <v>2294</v>
      </c>
      <c r="H29" s="5910" t="s">
        <v>24</v>
      </c>
      <c r="I29" s="5910" t="s">
        <v>715</v>
      </c>
    </row>
    <row customHeight="1" ht="11.25">
      <c r="A30" s="5910" t="s">
        <v>2181</v>
      </c>
      <c r="B30" s="5910" t="s">
        <v>14</v>
      </c>
      <c r="C30" s="5910" t="s">
        <v>2295</v>
      </c>
      <c r="D30" s="5910" t="s">
        <v>2296</v>
      </c>
      <c r="E30" s="5910" t="s">
        <v>2297</v>
      </c>
      <c r="F30" s="5910" t="s">
        <v>50</v>
      </c>
      <c r="G30" s="5910" t="s">
        <v>2298</v>
      </c>
      <c r="H30" s="5910" t="s">
        <v>24</v>
      </c>
      <c r="I30" s="5910" t="s">
        <v>715</v>
      </c>
    </row>
    <row customHeight="1" ht="11.25">
      <c r="A31" s="5910" t="s">
        <v>2181</v>
      </c>
      <c r="B31" s="5910" t="s">
        <v>14</v>
      </c>
      <c r="C31" s="5910" t="s">
        <v>2299</v>
      </c>
      <c r="D31" s="5910" t="s">
        <v>2300</v>
      </c>
      <c r="E31" s="5910" t="s">
        <v>2301</v>
      </c>
      <c r="F31" s="5910" t="s">
        <v>50</v>
      </c>
      <c r="G31" s="5910" t="s">
        <v>2302</v>
      </c>
      <c r="H31" s="5910" t="s">
        <v>24</v>
      </c>
      <c r="I31" s="5910" t="s">
        <v>715</v>
      </c>
    </row>
    <row customHeight="1" ht="11.25">
      <c r="A32" s="5910" t="s">
        <v>2181</v>
      </c>
      <c r="B32" s="5910" t="s">
        <v>14</v>
      </c>
      <c r="C32" s="5910" t="s">
        <v>2303</v>
      </c>
      <c r="D32" s="5910" t="s">
        <v>2304</v>
      </c>
      <c r="E32" s="5910" t="s">
        <v>2305</v>
      </c>
      <c r="F32" s="5910" t="s">
        <v>2277</v>
      </c>
      <c r="G32" s="5910" t="s">
        <v>24</v>
      </c>
      <c r="H32" s="5910" t="s">
        <v>24</v>
      </c>
      <c r="I32" s="5910" t="s">
        <v>715</v>
      </c>
    </row>
    <row customHeight="1" ht="11.25">
      <c r="A33" s="5910" t="s">
        <v>2181</v>
      </c>
      <c r="B33" s="5910" t="s">
        <v>14</v>
      </c>
      <c r="C33" s="5910" t="s">
        <v>2306</v>
      </c>
      <c r="D33" s="5910" t="s">
        <v>2307</v>
      </c>
      <c r="E33" s="5910" t="s">
        <v>2308</v>
      </c>
      <c r="F33" s="5910" t="s">
        <v>2202</v>
      </c>
      <c r="G33" s="5910" t="s">
        <v>24</v>
      </c>
      <c r="H33" s="5910" t="s">
        <v>24</v>
      </c>
      <c r="I33" s="5910" t="s">
        <v>715</v>
      </c>
    </row>
    <row customHeight="1" ht="11.25">
      <c r="A34" s="5910" t="s">
        <v>2181</v>
      </c>
      <c r="B34" s="5910" t="s">
        <v>14</v>
      </c>
      <c r="C34" s="5910" t="s">
        <v>2309</v>
      </c>
      <c r="D34" s="5910" t="s">
        <v>2310</v>
      </c>
      <c r="E34" s="5910" t="s">
        <v>2311</v>
      </c>
      <c r="F34" s="5910" t="s">
        <v>2202</v>
      </c>
      <c r="G34" s="5910" t="s">
        <v>24</v>
      </c>
      <c r="H34" s="5910" t="s">
        <v>24</v>
      </c>
      <c r="I34" s="5910" t="s">
        <v>715</v>
      </c>
    </row>
    <row customHeight="1" ht="11.25">
      <c r="A35" s="5910" t="s">
        <v>2181</v>
      </c>
      <c r="B35" s="5910" t="s">
        <v>14</v>
      </c>
      <c r="C35" s="5910" t="s">
        <v>2312</v>
      </c>
      <c r="D35" s="5910" t="s">
        <v>2313</v>
      </c>
      <c r="E35" s="5910" t="s">
        <v>2314</v>
      </c>
      <c r="F35" s="5910" t="s">
        <v>2315</v>
      </c>
      <c r="G35" s="5910" t="s">
        <v>2316</v>
      </c>
      <c r="H35" s="5910" t="s">
        <v>24</v>
      </c>
      <c r="I35" s="5910" t="s">
        <v>715</v>
      </c>
    </row>
    <row customHeight="1" ht="11.25">
      <c r="A36" s="5910" t="s">
        <v>2181</v>
      </c>
      <c r="B36" s="5910" t="s">
        <v>14</v>
      </c>
      <c r="C36" s="5910" t="s">
        <v>2317</v>
      </c>
      <c r="D36" s="5910" t="s">
        <v>2318</v>
      </c>
      <c r="E36" s="5910" t="s">
        <v>2319</v>
      </c>
      <c r="F36" s="5910" t="s">
        <v>50</v>
      </c>
      <c r="G36" s="5910" t="s">
        <v>24</v>
      </c>
      <c r="H36" s="5910" t="s">
        <v>24</v>
      </c>
      <c r="I36" s="5910" t="s">
        <v>715</v>
      </c>
    </row>
    <row customHeight="1" ht="11.25">
      <c r="A37" s="5910" t="s">
        <v>2181</v>
      </c>
      <c r="B37" s="5910" t="s">
        <v>14</v>
      </c>
      <c r="C37" s="5910" t="s">
        <v>2320</v>
      </c>
      <c r="D37" s="5910" t="s">
        <v>2321</v>
      </c>
      <c r="E37" s="5910" t="s">
        <v>2322</v>
      </c>
      <c r="F37" s="5910" t="s">
        <v>2323</v>
      </c>
      <c r="G37" s="5910" t="s">
        <v>2324</v>
      </c>
      <c r="H37" s="5910" t="s">
        <v>24</v>
      </c>
      <c r="I37" s="5910" t="s">
        <v>715</v>
      </c>
    </row>
    <row customHeight="1" ht="11.25">
      <c r="A38" s="5910" t="s">
        <v>2181</v>
      </c>
      <c r="B38" s="5910" t="s">
        <v>14</v>
      </c>
      <c r="C38" s="5910" t="s">
        <v>2325</v>
      </c>
      <c r="D38" s="5910" t="s">
        <v>2326</v>
      </c>
      <c r="E38" s="5910" t="s">
        <v>2327</v>
      </c>
      <c r="F38" s="5910" t="s">
        <v>50</v>
      </c>
      <c r="G38" s="5910" t="s">
        <v>24</v>
      </c>
      <c r="H38" s="5910" t="s">
        <v>24</v>
      </c>
      <c r="I38" s="5910" t="s">
        <v>715</v>
      </c>
    </row>
    <row customHeight="1" ht="11.25">
      <c r="A39" s="5910" t="s">
        <v>2181</v>
      </c>
      <c r="B39" s="5910" t="s">
        <v>14</v>
      </c>
      <c r="C39" s="5910" t="s">
        <v>2328</v>
      </c>
      <c r="D39" s="5910" t="s">
        <v>2329</v>
      </c>
      <c r="E39" s="5910" t="s">
        <v>2330</v>
      </c>
      <c r="F39" s="5910" t="s">
        <v>2331</v>
      </c>
      <c r="G39" s="5910" t="s">
        <v>24</v>
      </c>
      <c r="H39" s="5910" t="s">
        <v>24</v>
      </c>
      <c r="I39" s="5910" t="s">
        <v>715</v>
      </c>
    </row>
    <row customHeight="1" ht="11.25">
      <c r="A40" s="5910" t="s">
        <v>2181</v>
      </c>
      <c r="B40" s="5910" t="s">
        <v>14</v>
      </c>
      <c r="C40" s="5910" t="s">
        <v>2332</v>
      </c>
      <c r="D40" s="5910" t="s">
        <v>2333</v>
      </c>
      <c r="E40" s="5910" t="s">
        <v>2334</v>
      </c>
      <c r="F40" s="5910" t="s">
        <v>2202</v>
      </c>
      <c r="G40" s="5910" t="s">
        <v>24</v>
      </c>
      <c r="H40" s="5910" t="s">
        <v>24</v>
      </c>
      <c r="I40" s="5910" t="s">
        <v>715</v>
      </c>
    </row>
    <row customHeight="1" ht="11.25">
      <c r="A41" s="5910" t="s">
        <v>2181</v>
      </c>
      <c r="B41" s="5910" t="s">
        <v>14</v>
      </c>
      <c r="C41" s="5910" t="s">
        <v>2335</v>
      </c>
      <c r="D41" s="5910" t="s">
        <v>2336</v>
      </c>
      <c r="E41" s="5910" t="s">
        <v>2337</v>
      </c>
      <c r="F41" s="5910" t="s">
        <v>50</v>
      </c>
      <c r="G41" s="5910" t="s">
        <v>2338</v>
      </c>
      <c r="H41" s="5910" t="s">
        <v>24</v>
      </c>
      <c r="I41" s="5910" t="s">
        <v>715</v>
      </c>
    </row>
    <row customHeight="1" ht="11.25">
      <c r="A42" s="5910" t="s">
        <v>2181</v>
      </c>
      <c r="B42" s="5910" t="s">
        <v>14</v>
      </c>
      <c r="C42" s="5910" t="s">
        <v>2339</v>
      </c>
      <c r="D42" s="5910" t="s">
        <v>2340</v>
      </c>
      <c r="E42" s="5910" t="s">
        <v>2341</v>
      </c>
      <c r="F42" s="5910" t="s">
        <v>2202</v>
      </c>
      <c r="G42" s="5910" t="s">
        <v>24</v>
      </c>
      <c r="H42" s="5910" t="s">
        <v>24</v>
      </c>
      <c r="I42" s="5910" t="s">
        <v>715</v>
      </c>
    </row>
    <row customHeight="1" ht="11.25">
      <c r="A43" s="5910" t="s">
        <v>2181</v>
      </c>
      <c r="B43" s="5910" t="s">
        <v>14</v>
      </c>
      <c r="C43" s="5910" t="s">
        <v>2342</v>
      </c>
      <c r="D43" s="5910" t="s">
        <v>2343</v>
      </c>
      <c r="E43" s="5910" t="s">
        <v>2344</v>
      </c>
      <c r="F43" s="5910" t="s">
        <v>2331</v>
      </c>
      <c r="G43" s="5910" t="s">
        <v>24</v>
      </c>
      <c r="H43" s="5910" t="s">
        <v>24</v>
      </c>
      <c r="I43" s="5910" t="s">
        <v>715</v>
      </c>
    </row>
    <row customHeight="1" ht="11.25">
      <c r="A44" s="5910" t="s">
        <v>2181</v>
      </c>
      <c r="B44" s="5910" t="s">
        <v>14</v>
      </c>
      <c r="C44" s="5910" t="s">
        <v>2345</v>
      </c>
      <c r="D44" s="5910" t="s">
        <v>2346</v>
      </c>
      <c r="E44" s="5910" t="s">
        <v>2347</v>
      </c>
      <c r="F44" s="5910" t="s">
        <v>50</v>
      </c>
      <c r="G44" s="5910" t="s">
        <v>24</v>
      </c>
      <c r="H44" s="5910" t="s">
        <v>24</v>
      </c>
      <c r="I44" s="5910" t="s">
        <v>715</v>
      </c>
    </row>
    <row customHeight="1" ht="11.25">
      <c r="A45" s="5910" t="s">
        <v>2181</v>
      </c>
      <c r="B45" s="5910" t="s">
        <v>14</v>
      </c>
      <c r="C45" s="5910" t="s">
        <v>2348</v>
      </c>
      <c r="D45" s="5910" t="s">
        <v>2349</v>
      </c>
      <c r="E45" s="5910" t="s">
        <v>2350</v>
      </c>
      <c r="F45" s="5910" t="s">
        <v>2351</v>
      </c>
      <c r="G45" s="5910" t="s">
        <v>24</v>
      </c>
      <c r="H45" s="5910" t="s">
        <v>24</v>
      </c>
      <c r="I45" s="5910" t="s">
        <v>715</v>
      </c>
    </row>
    <row customHeight="1" ht="11.25">
      <c r="A46" s="5910" t="s">
        <v>2181</v>
      </c>
      <c r="B46" s="5910" t="s">
        <v>14</v>
      </c>
      <c r="C46" s="5910" t="s">
        <v>2352</v>
      </c>
      <c r="D46" s="5910" t="s">
        <v>2353</v>
      </c>
      <c r="E46" s="5910" t="s">
        <v>2354</v>
      </c>
      <c r="F46" s="5910" t="s">
        <v>2277</v>
      </c>
      <c r="G46" s="5910" t="s">
        <v>2355</v>
      </c>
      <c r="H46" s="5910" t="s">
        <v>24</v>
      </c>
      <c r="I46" s="5910" t="s">
        <v>715</v>
      </c>
    </row>
    <row customHeight="1" ht="11.25">
      <c r="A47" s="5910" t="s">
        <v>2181</v>
      </c>
      <c r="B47" s="5910" t="s">
        <v>14</v>
      </c>
      <c r="C47" s="5910" t="s">
        <v>2356</v>
      </c>
      <c r="D47" s="5910" t="s">
        <v>2357</v>
      </c>
      <c r="E47" s="5910" t="s">
        <v>2358</v>
      </c>
      <c r="F47" s="5910" t="s">
        <v>2218</v>
      </c>
      <c r="G47" s="5910" t="s">
        <v>24</v>
      </c>
      <c r="H47" s="5910" t="s">
        <v>24</v>
      </c>
      <c r="I47" s="5910" t="s">
        <v>715</v>
      </c>
    </row>
    <row customHeight="1" ht="11.25">
      <c r="A48" s="5910" t="s">
        <v>2181</v>
      </c>
      <c r="B48" s="5910" t="s">
        <v>14</v>
      </c>
      <c r="C48" s="5910" t="s">
        <v>2359</v>
      </c>
      <c r="D48" s="5910" t="s">
        <v>2360</v>
      </c>
      <c r="E48" s="5910" t="s">
        <v>2361</v>
      </c>
      <c r="F48" s="5910" t="s">
        <v>2213</v>
      </c>
      <c r="G48" s="5910" t="s">
        <v>2362</v>
      </c>
      <c r="H48" s="5910" t="s">
        <v>24</v>
      </c>
      <c r="I48" s="5910" t="s">
        <v>715</v>
      </c>
    </row>
    <row customHeight="1" ht="11.25">
      <c r="A49" s="5910" t="s">
        <v>2181</v>
      </c>
      <c r="B49" s="5910" t="s">
        <v>14</v>
      </c>
      <c r="C49" s="5910" t="s">
        <v>2363</v>
      </c>
      <c r="D49" s="5910" t="s">
        <v>2364</v>
      </c>
      <c r="E49" s="5910" t="s">
        <v>2365</v>
      </c>
      <c r="F49" s="5910" t="s">
        <v>50</v>
      </c>
      <c r="G49" s="5910" t="s">
        <v>24</v>
      </c>
      <c r="H49" s="5910" t="s">
        <v>24</v>
      </c>
      <c r="I49" s="5910" t="s">
        <v>715</v>
      </c>
    </row>
    <row customHeight="1" ht="11.25">
      <c r="A50" s="5910" t="s">
        <v>2181</v>
      </c>
      <c r="B50" s="5910" t="s">
        <v>14</v>
      </c>
      <c r="C50" s="5910" t="s">
        <v>2366</v>
      </c>
      <c r="D50" s="5910" t="s">
        <v>2367</v>
      </c>
      <c r="E50" s="5910" t="s">
        <v>2368</v>
      </c>
      <c r="F50" s="5910" t="s">
        <v>2369</v>
      </c>
      <c r="G50" s="5910" t="s">
        <v>24</v>
      </c>
      <c r="H50" s="5910" t="s">
        <v>24</v>
      </c>
      <c r="I50" s="5910" t="s">
        <v>715</v>
      </c>
    </row>
    <row customHeight="1" ht="11.25">
      <c r="A51" s="5910" t="s">
        <v>2181</v>
      </c>
      <c r="B51" s="5910" t="s">
        <v>14</v>
      </c>
      <c r="C51" s="5910" t="s">
        <v>2370</v>
      </c>
      <c r="D51" s="5910" t="s">
        <v>2371</v>
      </c>
      <c r="E51" s="5910" t="s">
        <v>2372</v>
      </c>
      <c r="F51" s="5910" t="s">
        <v>50</v>
      </c>
      <c r="G51" s="5910" t="s">
        <v>24</v>
      </c>
      <c r="H51" s="5910" t="s">
        <v>24</v>
      </c>
      <c r="I51" s="5910" t="s">
        <v>715</v>
      </c>
    </row>
    <row customHeight="1" ht="11.25">
      <c r="A52" s="5910" t="s">
        <v>2181</v>
      </c>
      <c r="B52" s="5910" t="s">
        <v>14</v>
      </c>
      <c r="C52" s="5910" t="s">
        <v>2373</v>
      </c>
      <c r="D52" s="5910" t="s">
        <v>2374</v>
      </c>
      <c r="E52" s="5910" t="s">
        <v>2375</v>
      </c>
      <c r="F52" s="5910" t="s">
        <v>50</v>
      </c>
      <c r="G52" s="5910" t="s">
        <v>2376</v>
      </c>
      <c r="H52" s="5910" t="s">
        <v>24</v>
      </c>
      <c r="I52" s="5910" t="s">
        <v>715</v>
      </c>
    </row>
    <row customHeight="1" ht="11.25">
      <c r="A53" s="5910" t="s">
        <v>2181</v>
      </c>
      <c r="B53" s="5910" t="s">
        <v>14</v>
      </c>
      <c r="C53" s="5910" t="s">
        <v>2377</v>
      </c>
      <c r="D53" s="5910" t="s">
        <v>2378</v>
      </c>
      <c r="E53" s="5910" t="s">
        <v>2379</v>
      </c>
      <c r="F53" s="5910" t="s">
        <v>50</v>
      </c>
      <c r="G53" s="5910" t="s">
        <v>2380</v>
      </c>
      <c r="H53" s="5910" t="s">
        <v>24</v>
      </c>
      <c r="I53" s="5910" t="s">
        <v>715</v>
      </c>
    </row>
    <row customHeight="1" ht="11.25">
      <c r="A54" s="5910" t="s">
        <v>2181</v>
      </c>
      <c r="B54" s="5910" t="s">
        <v>14</v>
      </c>
      <c r="C54" s="5910" t="s">
        <v>2381</v>
      </c>
      <c r="D54" s="5910" t="s">
        <v>2382</v>
      </c>
      <c r="E54" s="5910" t="s">
        <v>2383</v>
      </c>
      <c r="F54" s="5910" t="s">
        <v>2202</v>
      </c>
      <c r="G54" s="5910" t="s">
        <v>2384</v>
      </c>
      <c r="H54" s="5910" t="s">
        <v>24</v>
      </c>
      <c r="I54" s="5910" t="s">
        <v>715</v>
      </c>
    </row>
    <row customHeight="1" ht="11.25">
      <c r="A55" s="5910" t="s">
        <v>2181</v>
      </c>
      <c r="B55" s="5910" t="s">
        <v>14</v>
      </c>
      <c r="C55" s="5910" t="s">
        <v>2385</v>
      </c>
      <c r="D55" s="5910" t="s">
        <v>2386</v>
      </c>
      <c r="E55" s="5910" t="s">
        <v>2387</v>
      </c>
      <c r="F55" s="5910" t="s">
        <v>2202</v>
      </c>
      <c r="G55" s="5910" t="s">
        <v>2388</v>
      </c>
      <c r="H55" s="5910" t="s">
        <v>24</v>
      </c>
      <c r="I55" s="5910" t="s">
        <v>715</v>
      </c>
    </row>
    <row customHeight="1" ht="11.25">
      <c r="A56" s="5910" t="s">
        <v>2181</v>
      </c>
      <c r="B56" s="5910" t="s">
        <v>14</v>
      </c>
      <c r="C56" s="5910" t="s">
        <v>2389</v>
      </c>
      <c r="D56" s="5910" t="s">
        <v>2390</v>
      </c>
      <c r="E56" s="5910" t="s">
        <v>2391</v>
      </c>
      <c r="F56" s="5910" t="s">
        <v>2392</v>
      </c>
      <c r="G56" s="5910" t="s">
        <v>2393</v>
      </c>
      <c r="H56" s="5910" t="s">
        <v>24</v>
      </c>
      <c r="I56" s="5910" t="s">
        <v>715</v>
      </c>
    </row>
    <row customHeight="1" ht="11.25">
      <c r="A57" s="5910" t="s">
        <v>2181</v>
      </c>
      <c r="B57" s="5910" t="s">
        <v>14</v>
      </c>
      <c r="C57" s="5910" t="s">
        <v>2394</v>
      </c>
      <c r="D57" s="5910" t="s">
        <v>2395</v>
      </c>
      <c r="E57" s="5910" t="s">
        <v>2368</v>
      </c>
      <c r="F57" s="5910" t="s">
        <v>2396</v>
      </c>
      <c r="G57" s="5910" t="s">
        <v>24</v>
      </c>
      <c r="H57" s="5910" t="s">
        <v>24</v>
      </c>
      <c r="I57" s="5910" t="s">
        <v>715</v>
      </c>
    </row>
    <row customHeight="1" ht="11.25">
      <c r="A58" s="5910" t="s">
        <v>2181</v>
      </c>
      <c r="B58" s="5910" t="s">
        <v>14</v>
      </c>
      <c r="C58" s="5910" t="s">
        <v>2186</v>
      </c>
      <c r="D58" s="5910" t="s">
        <v>2183</v>
      </c>
      <c r="E58" s="5910" t="s">
        <v>2184</v>
      </c>
      <c r="F58" s="5910" t="s">
        <v>2187</v>
      </c>
      <c r="G58" s="5910" t="s">
        <v>24</v>
      </c>
      <c r="H58" s="5910" t="s">
        <v>24</v>
      </c>
      <c r="I58" s="5910" t="s">
        <v>799</v>
      </c>
    </row>
    <row customHeight="1" ht="11.25">
      <c r="A59" s="5910" t="s">
        <v>2181</v>
      </c>
      <c r="B59" s="5910" t="s">
        <v>14</v>
      </c>
      <c r="C59" s="5910" t="s">
        <v>2195</v>
      </c>
      <c r="D59" s="5910" t="s">
        <v>2196</v>
      </c>
      <c r="E59" s="5910" t="s">
        <v>2197</v>
      </c>
      <c r="F59" s="5910" t="s">
        <v>50</v>
      </c>
      <c r="G59" s="5910" t="s">
        <v>24</v>
      </c>
      <c r="H59" s="5910" t="s">
        <v>2198</v>
      </c>
      <c r="I59" s="5910" t="s">
        <v>799</v>
      </c>
    </row>
    <row customHeight="1" ht="11.25">
      <c r="A60" s="5910" t="s">
        <v>2181</v>
      </c>
      <c r="B60" s="5910" t="s">
        <v>14</v>
      </c>
      <c r="C60" s="5910" t="s">
        <v>2199</v>
      </c>
      <c r="D60" s="5910" t="s">
        <v>2200</v>
      </c>
      <c r="E60" s="5910" t="s">
        <v>2201</v>
      </c>
      <c r="F60" s="5910" t="s">
        <v>2202</v>
      </c>
      <c r="G60" s="5910" t="s">
        <v>24</v>
      </c>
      <c r="H60" s="5910" t="s">
        <v>24</v>
      </c>
      <c r="I60" s="5910" t="s">
        <v>799</v>
      </c>
    </row>
    <row customHeight="1" ht="11.25">
      <c r="A61" s="5910" t="s">
        <v>2181</v>
      </c>
      <c r="B61" s="5910" t="s">
        <v>14</v>
      </c>
      <c r="C61" s="5910" t="s">
        <v>2203</v>
      </c>
      <c r="D61" s="5910" t="s">
        <v>2204</v>
      </c>
      <c r="E61" s="5910" t="s">
        <v>2205</v>
      </c>
      <c r="F61" s="5910" t="s">
        <v>2202</v>
      </c>
      <c r="G61" s="5910" t="s">
        <v>2206</v>
      </c>
      <c r="H61" s="5910" t="s">
        <v>2207</v>
      </c>
      <c r="I61" s="5910" t="s">
        <v>799</v>
      </c>
    </row>
    <row customHeight="1" ht="11.25">
      <c r="A62" s="5910" t="s">
        <v>2181</v>
      </c>
      <c r="B62" s="5910" t="s">
        <v>14</v>
      </c>
      <c r="C62" s="5910" t="s">
        <v>24</v>
      </c>
      <c r="D62" s="5910" t="s">
        <v>2208</v>
      </c>
      <c r="E62" s="5910" t="s">
        <v>2209</v>
      </c>
      <c r="F62" s="5910" t="s">
        <v>50</v>
      </c>
      <c r="G62" s="5910" t="s">
        <v>24</v>
      </c>
      <c r="H62" s="5910" t="s">
        <v>24</v>
      </c>
      <c r="I62" s="5910" t="s">
        <v>799</v>
      </c>
    </row>
    <row customHeight="1" ht="11.25">
      <c r="A63" s="5910" t="s">
        <v>2181</v>
      </c>
      <c r="B63" s="5910" t="s">
        <v>14</v>
      </c>
      <c r="C63" s="5910" t="s">
        <v>2210</v>
      </c>
      <c r="D63" s="5910" t="s">
        <v>2211</v>
      </c>
      <c r="E63" s="5910" t="s">
        <v>2212</v>
      </c>
      <c r="F63" s="5910" t="s">
        <v>2213</v>
      </c>
      <c r="G63" s="5910" t="s">
        <v>2214</v>
      </c>
      <c r="H63" s="5910" t="s">
        <v>24</v>
      </c>
      <c r="I63" s="5910" t="s">
        <v>799</v>
      </c>
    </row>
    <row customHeight="1" ht="11.25">
      <c r="A64" s="5910" t="s">
        <v>2181</v>
      </c>
      <c r="B64" s="5910" t="s">
        <v>14</v>
      </c>
      <c r="C64" s="5910" t="s">
        <v>2224</v>
      </c>
      <c r="D64" s="5910" t="s">
        <v>2225</v>
      </c>
      <c r="E64" s="5910" t="s">
        <v>2226</v>
      </c>
      <c r="F64" s="5910" t="s">
        <v>50</v>
      </c>
      <c r="G64" s="5910" t="s">
        <v>2227</v>
      </c>
      <c r="H64" s="5910" t="s">
        <v>24</v>
      </c>
      <c r="I64" s="5910" t="s">
        <v>799</v>
      </c>
    </row>
    <row customHeight="1" ht="11.25">
      <c r="A65" s="5910" t="s">
        <v>2181</v>
      </c>
      <c r="B65" s="5910" t="s">
        <v>14</v>
      </c>
      <c r="C65" s="5910" t="s">
        <v>2233</v>
      </c>
      <c r="D65" s="5910" t="s">
        <v>2234</v>
      </c>
      <c r="E65" s="5910" t="s">
        <v>2235</v>
      </c>
      <c r="F65" s="5910" t="s">
        <v>50</v>
      </c>
      <c r="G65" s="5910" t="s">
        <v>2236</v>
      </c>
      <c r="H65" s="5910" t="s">
        <v>24</v>
      </c>
      <c r="I65" s="5910" t="s">
        <v>799</v>
      </c>
    </row>
    <row customHeight="1" ht="11.25">
      <c r="A66" s="5910" t="s">
        <v>2181</v>
      </c>
      <c r="B66" s="5910" t="s">
        <v>14</v>
      </c>
      <c r="C66" s="5910" t="s">
        <v>2251</v>
      </c>
      <c r="D66" s="5910" t="s">
        <v>2252</v>
      </c>
      <c r="E66" s="5910" t="s">
        <v>2253</v>
      </c>
      <c r="F66" s="5910" t="s">
        <v>50</v>
      </c>
      <c r="G66" s="5910" t="s">
        <v>2254</v>
      </c>
      <c r="H66" s="5910" t="s">
        <v>24</v>
      </c>
      <c r="I66" s="5910" t="s">
        <v>799</v>
      </c>
    </row>
    <row customHeight="1" ht="11.25">
      <c r="A67" s="5910" t="s">
        <v>2181</v>
      </c>
      <c r="B67" s="5910" t="s">
        <v>14</v>
      </c>
      <c r="C67" s="5910" t="s">
        <v>2262</v>
      </c>
      <c r="D67" s="5910" t="s">
        <v>2263</v>
      </c>
      <c r="E67" s="5910" t="s">
        <v>2264</v>
      </c>
      <c r="F67" s="5910" t="s">
        <v>2265</v>
      </c>
      <c r="G67" s="5910" t="s">
        <v>2266</v>
      </c>
      <c r="H67" s="5910" t="s">
        <v>24</v>
      </c>
      <c r="I67" s="5910" t="s">
        <v>799</v>
      </c>
    </row>
    <row customHeight="1" ht="11.25">
      <c r="A68" s="5910" t="s">
        <v>2181</v>
      </c>
      <c r="B68" s="5910" t="s">
        <v>14</v>
      </c>
      <c r="C68" s="5910" t="s">
        <v>2267</v>
      </c>
      <c r="D68" s="5910" t="s">
        <v>2268</v>
      </c>
      <c r="E68" s="5910" t="s">
        <v>2269</v>
      </c>
      <c r="F68" s="5910" t="s">
        <v>50</v>
      </c>
      <c r="G68" s="5910" t="s">
        <v>2270</v>
      </c>
      <c r="H68" s="5910" t="s">
        <v>24</v>
      </c>
      <c r="I68" s="5910" t="s">
        <v>799</v>
      </c>
    </row>
    <row customHeight="1" ht="11.25">
      <c r="A69" s="5910" t="s">
        <v>2181</v>
      </c>
      <c r="B69" s="5910" t="s">
        <v>14</v>
      </c>
      <c r="C69" s="5910" t="s">
        <v>2295</v>
      </c>
      <c r="D69" s="5910" t="s">
        <v>2296</v>
      </c>
      <c r="E69" s="5910" t="s">
        <v>2297</v>
      </c>
      <c r="F69" s="5910" t="s">
        <v>50</v>
      </c>
      <c r="G69" s="5910" t="s">
        <v>2298</v>
      </c>
      <c r="H69" s="5910" t="s">
        <v>24</v>
      </c>
      <c r="I69" s="5910" t="s">
        <v>799</v>
      </c>
    </row>
    <row customHeight="1" ht="11.25">
      <c r="A70" s="5910" t="s">
        <v>2181</v>
      </c>
      <c r="B70" s="5910" t="s">
        <v>14</v>
      </c>
      <c r="C70" s="5910" t="s">
        <v>2299</v>
      </c>
      <c r="D70" s="5910" t="s">
        <v>2300</v>
      </c>
      <c r="E70" s="5910" t="s">
        <v>2301</v>
      </c>
      <c r="F70" s="5910" t="s">
        <v>50</v>
      </c>
      <c r="G70" s="5910" t="s">
        <v>2302</v>
      </c>
      <c r="H70" s="5910" t="s">
        <v>24</v>
      </c>
      <c r="I70" s="5910" t="s">
        <v>799</v>
      </c>
    </row>
    <row customHeight="1" ht="11.25">
      <c r="A71" s="5910" t="s">
        <v>2181</v>
      </c>
      <c r="B71" s="5910" t="s">
        <v>14</v>
      </c>
      <c r="C71" s="5910" t="s">
        <v>2303</v>
      </c>
      <c r="D71" s="5910" t="s">
        <v>2304</v>
      </c>
      <c r="E71" s="5910" t="s">
        <v>2305</v>
      </c>
      <c r="F71" s="5910" t="s">
        <v>2277</v>
      </c>
      <c r="G71" s="5910" t="s">
        <v>24</v>
      </c>
      <c r="H71" s="5910" t="s">
        <v>24</v>
      </c>
      <c r="I71" s="5910" t="s">
        <v>799</v>
      </c>
    </row>
    <row customHeight="1" ht="11.25">
      <c r="A72" s="5910" t="s">
        <v>2181</v>
      </c>
      <c r="B72" s="5910" t="s">
        <v>14</v>
      </c>
      <c r="C72" s="5910" t="s">
        <v>2306</v>
      </c>
      <c r="D72" s="5910" t="s">
        <v>2307</v>
      </c>
      <c r="E72" s="5910" t="s">
        <v>2308</v>
      </c>
      <c r="F72" s="5910" t="s">
        <v>2202</v>
      </c>
      <c r="G72" s="5910" t="s">
        <v>24</v>
      </c>
      <c r="H72" s="5910" t="s">
        <v>24</v>
      </c>
      <c r="I72" s="5910" t="s">
        <v>799</v>
      </c>
    </row>
    <row customHeight="1" ht="11.25">
      <c r="A73" s="5910" t="s">
        <v>2181</v>
      </c>
      <c r="B73" s="5910" t="s">
        <v>14</v>
      </c>
      <c r="C73" s="5910" t="s">
        <v>2309</v>
      </c>
      <c r="D73" s="5910" t="s">
        <v>2310</v>
      </c>
      <c r="E73" s="5910" t="s">
        <v>2311</v>
      </c>
      <c r="F73" s="5910" t="s">
        <v>2202</v>
      </c>
      <c r="G73" s="5910" t="s">
        <v>24</v>
      </c>
      <c r="H73" s="5910" t="s">
        <v>24</v>
      </c>
      <c r="I73" s="5910" t="s">
        <v>799</v>
      </c>
    </row>
    <row customHeight="1" ht="11.25">
      <c r="A74" s="5910" t="s">
        <v>2181</v>
      </c>
      <c r="B74" s="5910" t="s">
        <v>14</v>
      </c>
      <c r="C74" s="5910" t="s">
        <v>2320</v>
      </c>
      <c r="D74" s="5910" t="s">
        <v>2321</v>
      </c>
      <c r="E74" s="5910" t="s">
        <v>2322</v>
      </c>
      <c r="F74" s="5910" t="s">
        <v>2323</v>
      </c>
      <c r="G74" s="5910" t="s">
        <v>2324</v>
      </c>
      <c r="H74" s="5910" t="s">
        <v>24</v>
      </c>
      <c r="I74" s="5910" t="s">
        <v>799</v>
      </c>
    </row>
    <row customHeight="1" ht="11.25">
      <c r="A75" s="5910" t="s">
        <v>2181</v>
      </c>
      <c r="B75" s="5910" t="s">
        <v>14</v>
      </c>
      <c r="C75" s="5910" t="s">
        <v>2325</v>
      </c>
      <c r="D75" s="5910" t="s">
        <v>2326</v>
      </c>
      <c r="E75" s="5910" t="s">
        <v>2327</v>
      </c>
      <c r="F75" s="5910" t="s">
        <v>50</v>
      </c>
      <c r="G75" s="5910" t="s">
        <v>24</v>
      </c>
      <c r="H75" s="5910" t="s">
        <v>24</v>
      </c>
      <c r="I75" s="5910" t="s">
        <v>799</v>
      </c>
    </row>
    <row customHeight="1" ht="11.25">
      <c r="A76" s="5910" t="s">
        <v>2181</v>
      </c>
      <c r="B76" s="5910" t="s">
        <v>14</v>
      </c>
      <c r="C76" s="5910" t="s">
        <v>2332</v>
      </c>
      <c r="D76" s="5910" t="s">
        <v>2333</v>
      </c>
      <c r="E76" s="5910" t="s">
        <v>2334</v>
      </c>
      <c r="F76" s="5910" t="s">
        <v>2202</v>
      </c>
      <c r="G76" s="5910" t="s">
        <v>24</v>
      </c>
      <c r="H76" s="5910" t="s">
        <v>24</v>
      </c>
      <c r="I76" s="5910" t="s">
        <v>799</v>
      </c>
    </row>
    <row customHeight="1" ht="11.25">
      <c r="A77" s="5910" t="s">
        <v>2181</v>
      </c>
      <c r="B77" s="5910" t="s">
        <v>14</v>
      </c>
      <c r="C77" s="5910" t="s">
        <v>2348</v>
      </c>
      <c r="D77" s="5910" t="s">
        <v>2349</v>
      </c>
      <c r="E77" s="5910" t="s">
        <v>2350</v>
      </c>
      <c r="F77" s="5910" t="s">
        <v>2351</v>
      </c>
      <c r="G77" s="5910" t="s">
        <v>24</v>
      </c>
      <c r="H77" s="5910" t="s">
        <v>24</v>
      </c>
      <c r="I77" s="5910" t="s">
        <v>799</v>
      </c>
    </row>
    <row customHeight="1" ht="11.25">
      <c r="A78" s="5910" t="s">
        <v>2181</v>
      </c>
      <c r="B78" s="5910" t="s">
        <v>14</v>
      </c>
      <c r="C78" s="5910" t="s">
        <v>2397</v>
      </c>
      <c r="D78" s="5910" t="s">
        <v>2398</v>
      </c>
      <c r="E78" s="5910" t="s">
        <v>2350</v>
      </c>
      <c r="F78" s="5910" t="s">
        <v>2399</v>
      </c>
      <c r="G78" s="5910" t="s">
        <v>2400</v>
      </c>
      <c r="H78" s="5910" t="s">
        <v>24</v>
      </c>
      <c r="I78" s="5910" t="s">
        <v>799</v>
      </c>
    </row>
    <row customHeight="1" ht="11.25">
      <c r="A79" s="5910" t="s">
        <v>2181</v>
      </c>
      <c r="B79" s="5910" t="s">
        <v>14</v>
      </c>
      <c r="C79" s="5910" t="s">
        <v>2359</v>
      </c>
      <c r="D79" s="5910" t="s">
        <v>2360</v>
      </c>
      <c r="E79" s="5910" t="s">
        <v>2361</v>
      </c>
      <c r="F79" s="5910" t="s">
        <v>2213</v>
      </c>
      <c r="G79" s="5910" t="s">
        <v>2362</v>
      </c>
      <c r="H79" s="5910" t="s">
        <v>24</v>
      </c>
      <c r="I79" s="5910" t="s">
        <v>799</v>
      </c>
    </row>
    <row customHeight="1" ht="11.25">
      <c r="A80" s="5910" t="s">
        <v>2181</v>
      </c>
      <c r="B80" s="5910" t="s">
        <v>14</v>
      </c>
      <c r="C80" s="5910" t="s">
        <v>2366</v>
      </c>
      <c r="D80" s="5910" t="s">
        <v>2367</v>
      </c>
      <c r="E80" s="5910" t="s">
        <v>2368</v>
      </c>
      <c r="F80" s="5910" t="s">
        <v>2369</v>
      </c>
      <c r="G80" s="5910" t="s">
        <v>24</v>
      </c>
      <c r="H80" s="5910" t="s">
        <v>24</v>
      </c>
      <c r="I80" s="5910" t="s">
        <v>799</v>
      </c>
    </row>
    <row customHeight="1" ht="11.25">
      <c r="A81" s="5910" t="s">
        <v>2181</v>
      </c>
      <c r="B81" s="5910" t="s">
        <v>14</v>
      </c>
      <c r="C81" s="5910" t="s">
        <v>2377</v>
      </c>
      <c r="D81" s="5910" t="s">
        <v>2378</v>
      </c>
      <c r="E81" s="5910" t="s">
        <v>2379</v>
      </c>
      <c r="F81" s="5910" t="s">
        <v>50</v>
      </c>
      <c r="G81" s="5910" t="s">
        <v>2380</v>
      </c>
      <c r="H81" s="5910" t="s">
        <v>24</v>
      </c>
      <c r="I81" s="5910" t="s">
        <v>799</v>
      </c>
    </row>
    <row customHeight="1" ht="11.25">
      <c r="A82" s="5910" t="s">
        <v>2181</v>
      </c>
      <c r="B82" s="5910" t="s">
        <v>14</v>
      </c>
      <c r="C82" s="5910" t="s">
        <v>2381</v>
      </c>
      <c r="D82" s="5910" t="s">
        <v>2382</v>
      </c>
      <c r="E82" s="5910" t="s">
        <v>2383</v>
      </c>
      <c r="F82" s="5910" t="s">
        <v>2202</v>
      </c>
      <c r="G82" s="5910" t="s">
        <v>2384</v>
      </c>
      <c r="H82" s="5910" t="s">
        <v>24</v>
      </c>
      <c r="I82" s="5910" t="s">
        <v>799</v>
      </c>
    </row>
    <row customHeight="1" ht="11.25">
      <c r="A83" s="5910" t="s">
        <v>2181</v>
      </c>
      <c r="B83" s="5910" t="s">
        <v>14</v>
      </c>
      <c r="C83" s="5910" t="s">
        <v>2385</v>
      </c>
      <c r="D83" s="5910" t="s">
        <v>2386</v>
      </c>
      <c r="E83" s="5910" t="s">
        <v>2387</v>
      </c>
      <c r="F83" s="5910" t="s">
        <v>2202</v>
      </c>
      <c r="G83" s="5910" t="s">
        <v>2388</v>
      </c>
      <c r="H83" s="5910" t="s">
        <v>24</v>
      </c>
      <c r="I83" s="5910" t="s">
        <v>799</v>
      </c>
    </row>
    <row customHeight="1" ht="11.25">
      <c r="A84" s="5910" t="s">
        <v>2181</v>
      </c>
      <c r="B84" s="5910" t="s">
        <v>14</v>
      </c>
      <c r="C84" s="5910" t="s">
        <v>2394</v>
      </c>
      <c r="D84" s="5910" t="s">
        <v>2395</v>
      </c>
      <c r="E84" s="5910" t="s">
        <v>2368</v>
      </c>
      <c r="F84" s="5910" t="s">
        <v>2396</v>
      </c>
      <c r="G84" s="5910" t="s">
        <v>24</v>
      </c>
      <c r="H84" s="5910" t="s">
        <v>24</v>
      </c>
      <c r="I84" s="5910" t="s">
        <v>799</v>
      </c>
    </row>
    <row customHeight="1" ht="11.25">
      <c r="A85" s="5910" t="s">
        <v>2181</v>
      </c>
      <c r="B85" s="5910" t="s">
        <v>14</v>
      </c>
      <c r="C85" s="5910" t="s">
        <v>2186</v>
      </c>
      <c r="D85" s="5910" t="s">
        <v>2183</v>
      </c>
      <c r="E85" s="5910" t="s">
        <v>2184</v>
      </c>
      <c r="F85" s="5910" t="s">
        <v>2187</v>
      </c>
      <c r="G85" s="5910" t="s">
        <v>24</v>
      </c>
      <c r="H85" s="5910" t="s">
        <v>24</v>
      </c>
      <c r="I85" s="5910" t="s">
        <v>761</v>
      </c>
    </row>
    <row customHeight="1" ht="11.25">
      <c r="A86" s="5910" t="s">
        <v>2181</v>
      </c>
      <c r="B86" s="5910" t="s">
        <v>14</v>
      </c>
      <c r="C86" s="5910" t="s">
        <v>2401</v>
      </c>
      <c r="D86" s="5910" t="s">
        <v>2402</v>
      </c>
      <c r="E86" s="5910" t="s">
        <v>2403</v>
      </c>
      <c r="F86" s="5910" t="s">
        <v>2404</v>
      </c>
      <c r="G86" s="5910" t="s">
        <v>24</v>
      </c>
      <c r="H86" s="5910" t="s">
        <v>24</v>
      </c>
      <c r="I86" s="5910" t="s">
        <v>761</v>
      </c>
    </row>
    <row customHeight="1" ht="11.25">
      <c r="A87" s="5910" t="s">
        <v>2181</v>
      </c>
      <c r="B87" s="5910" t="s">
        <v>14</v>
      </c>
      <c r="C87" s="5910" t="s">
        <v>2191</v>
      </c>
      <c r="D87" s="5910" t="s">
        <v>2192</v>
      </c>
      <c r="E87" s="5910" t="s">
        <v>2193</v>
      </c>
      <c r="F87" s="5910" t="s">
        <v>2194</v>
      </c>
      <c r="G87" s="5910" t="s">
        <v>24</v>
      </c>
      <c r="H87" s="5910" t="s">
        <v>24</v>
      </c>
      <c r="I87" s="5910" t="s">
        <v>761</v>
      </c>
    </row>
    <row customHeight="1" ht="11.25">
      <c r="A88" s="5910" t="s">
        <v>2181</v>
      </c>
      <c r="B88" s="5910" t="s">
        <v>14</v>
      </c>
      <c r="C88" s="5910" t="s">
        <v>2405</v>
      </c>
      <c r="D88" s="5910" t="s">
        <v>2406</v>
      </c>
      <c r="E88" s="5910" t="s">
        <v>2407</v>
      </c>
      <c r="F88" s="5910" t="s">
        <v>2289</v>
      </c>
      <c r="G88" s="5910" t="s">
        <v>2408</v>
      </c>
      <c r="H88" s="5910" t="s">
        <v>24</v>
      </c>
      <c r="I88" s="5910" t="s">
        <v>761</v>
      </c>
    </row>
    <row customHeight="1" ht="11.25">
      <c r="A89" s="5910" t="s">
        <v>2181</v>
      </c>
      <c r="B89" s="5910" t="s">
        <v>14</v>
      </c>
      <c r="C89" s="5910" t="s">
        <v>2409</v>
      </c>
      <c r="D89" s="5910" t="s">
        <v>2410</v>
      </c>
      <c r="E89" s="5910" t="s">
        <v>2411</v>
      </c>
      <c r="F89" s="5910" t="s">
        <v>2404</v>
      </c>
      <c r="G89" s="5910" t="s">
        <v>2412</v>
      </c>
      <c r="H89" s="5910" t="s">
        <v>24</v>
      </c>
      <c r="I89" s="5910" t="s">
        <v>761</v>
      </c>
    </row>
    <row customHeight="1" ht="11.25">
      <c r="A90" s="5910" t="s">
        <v>2181</v>
      </c>
      <c r="B90" s="5910" t="s">
        <v>14</v>
      </c>
      <c r="C90" s="5910" t="s">
        <v>2195</v>
      </c>
      <c r="D90" s="5910" t="s">
        <v>2196</v>
      </c>
      <c r="E90" s="5910" t="s">
        <v>2197</v>
      </c>
      <c r="F90" s="5910" t="s">
        <v>50</v>
      </c>
      <c r="G90" s="5910" t="s">
        <v>24</v>
      </c>
      <c r="H90" s="5910" t="s">
        <v>2198</v>
      </c>
      <c r="I90" s="5910" t="s">
        <v>761</v>
      </c>
    </row>
    <row customHeight="1" ht="11.25">
      <c r="A91" s="5910" t="s">
        <v>2181</v>
      </c>
      <c r="B91" s="5910" t="s">
        <v>14</v>
      </c>
      <c r="C91" s="5910" t="s">
        <v>2199</v>
      </c>
      <c r="D91" s="5910" t="s">
        <v>2200</v>
      </c>
      <c r="E91" s="5910" t="s">
        <v>2201</v>
      </c>
      <c r="F91" s="5910" t="s">
        <v>2202</v>
      </c>
      <c r="G91" s="5910" t="s">
        <v>24</v>
      </c>
      <c r="H91" s="5910" t="s">
        <v>24</v>
      </c>
      <c r="I91" s="5910" t="s">
        <v>761</v>
      </c>
    </row>
    <row customHeight="1" ht="11.25">
      <c r="A92" s="5910" t="s">
        <v>2181</v>
      </c>
      <c r="B92" s="5910" t="s">
        <v>14</v>
      </c>
      <c r="C92" s="5910" t="s">
        <v>2203</v>
      </c>
      <c r="D92" s="5910" t="s">
        <v>2204</v>
      </c>
      <c r="E92" s="5910" t="s">
        <v>2205</v>
      </c>
      <c r="F92" s="5910" t="s">
        <v>2202</v>
      </c>
      <c r="G92" s="5910" t="s">
        <v>2206</v>
      </c>
      <c r="H92" s="5910" t="s">
        <v>2207</v>
      </c>
      <c r="I92" s="5910" t="s">
        <v>761</v>
      </c>
    </row>
    <row customHeight="1" ht="11.25">
      <c r="A93" s="5910" t="s">
        <v>2181</v>
      </c>
      <c r="B93" s="5910" t="s">
        <v>14</v>
      </c>
      <c r="C93" s="5910" t="s">
        <v>2413</v>
      </c>
      <c r="D93" s="5910" t="s">
        <v>2414</v>
      </c>
      <c r="E93" s="5910" t="s">
        <v>2415</v>
      </c>
      <c r="F93" s="5910" t="s">
        <v>2293</v>
      </c>
      <c r="G93" s="5910" t="s">
        <v>2416</v>
      </c>
      <c r="H93" s="5910" t="s">
        <v>24</v>
      </c>
      <c r="I93" s="5910" t="s">
        <v>761</v>
      </c>
    </row>
    <row customHeight="1" ht="11.25">
      <c r="A94" s="5910" t="s">
        <v>2181</v>
      </c>
      <c r="B94" s="5910" t="s">
        <v>14</v>
      </c>
      <c r="C94" s="5910" t="s">
        <v>2417</v>
      </c>
      <c r="D94" s="5910" t="s">
        <v>2418</v>
      </c>
      <c r="E94" s="5910" t="s">
        <v>2419</v>
      </c>
      <c r="F94" s="5910" t="s">
        <v>2218</v>
      </c>
      <c r="G94" s="5910" t="s">
        <v>24</v>
      </c>
      <c r="H94" s="5910" t="s">
        <v>24</v>
      </c>
      <c r="I94" s="5910" t="s">
        <v>761</v>
      </c>
    </row>
    <row customHeight="1" ht="11.25">
      <c r="A95" s="5910" t="s">
        <v>2181</v>
      </c>
      <c r="B95" s="5910" t="s">
        <v>14</v>
      </c>
      <c r="C95" s="5910" t="s">
        <v>2420</v>
      </c>
      <c r="D95" s="5910" t="s">
        <v>2421</v>
      </c>
      <c r="E95" s="5910" t="s">
        <v>2422</v>
      </c>
      <c r="F95" s="5910" t="s">
        <v>2423</v>
      </c>
      <c r="G95" s="5910" t="s">
        <v>2424</v>
      </c>
      <c r="H95" s="5910" t="s">
        <v>24</v>
      </c>
      <c r="I95" s="5910" t="s">
        <v>761</v>
      </c>
    </row>
    <row customHeight="1" ht="11.25">
      <c r="A96" s="5910" t="s">
        <v>2181</v>
      </c>
      <c r="B96" s="5910" t="s">
        <v>14</v>
      </c>
      <c r="C96" s="5910" t="s">
        <v>24</v>
      </c>
      <c r="D96" s="5910" t="s">
        <v>2208</v>
      </c>
      <c r="E96" s="5910" t="s">
        <v>2209</v>
      </c>
      <c r="F96" s="5910" t="s">
        <v>50</v>
      </c>
      <c r="G96" s="5910" t="s">
        <v>24</v>
      </c>
      <c r="H96" s="5910" t="s">
        <v>24</v>
      </c>
      <c r="I96" s="5910" t="s">
        <v>761</v>
      </c>
    </row>
    <row customHeight="1" ht="11.25">
      <c r="A97" s="5910" t="s">
        <v>2181</v>
      </c>
      <c r="B97" s="5910" t="s">
        <v>14</v>
      </c>
      <c r="C97" s="5910" t="s">
        <v>2219</v>
      </c>
      <c r="D97" s="5910" t="s">
        <v>2220</v>
      </c>
      <c r="E97" s="5910" t="s">
        <v>2221</v>
      </c>
      <c r="F97" s="5910" t="s">
        <v>2222</v>
      </c>
      <c r="G97" s="5910" t="s">
        <v>2223</v>
      </c>
      <c r="H97" s="5910" t="s">
        <v>24</v>
      </c>
      <c r="I97" s="5910" t="s">
        <v>761</v>
      </c>
    </row>
    <row customHeight="1" ht="11.25">
      <c r="A98" s="5910" t="s">
        <v>2181</v>
      </c>
      <c r="B98" s="5910" t="s">
        <v>14</v>
      </c>
      <c r="C98" s="5910" t="s">
        <v>2425</v>
      </c>
      <c r="D98" s="5910" t="s">
        <v>2426</v>
      </c>
      <c r="E98" s="5910" t="s">
        <v>2427</v>
      </c>
      <c r="F98" s="5910" t="s">
        <v>2428</v>
      </c>
      <c r="G98" s="5910" t="s">
        <v>2429</v>
      </c>
      <c r="H98" s="5910" t="s">
        <v>24</v>
      </c>
      <c r="I98" s="5910" t="s">
        <v>761</v>
      </c>
    </row>
    <row customHeight="1" ht="11.25">
      <c r="A99" s="5910" t="s">
        <v>2181</v>
      </c>
      <c r="B99" s="5910" t="s">
        <v>14</v>
      </c>
      <c r="C99" s="5910" t="s">
        <v>2430</v>
      </c>
      <c r="D99" s="5910" t="s">
        <v>2431</v>
      </c>
      <c r="E99" s="5910" t="s">
        <v>2432</v>
      </c>
      <c r="F99" s="5910" t="s">
        <v>2323</v>
      </c>
      <c r="G99" s="5910" t="s">
        <v>2433</v>
      </c>
      <c r="H99" s="5910" t="s">
        <v>24</v>
      </c>
      <c r="I99" s="5910" t="s">
        <v>761</v>
      </c>
    </row>
    <row customHeight="1" ht="11.25">
      <c r="A100" s="5910" t="s">
        <v>2181</v>
      </c>
      <c r="B100" s="5910" t="s">
        <v>14</v>
      </c>
      <c r="C100" s="5910" t="s">
        <v>2434</v>
      </c>
      <c r="D100" s="5910" t="s">
        <v>45</v>
      </c>
      <c r="E100" s="5910" t="s">
        <v>2435</v>
      </c>
      <c r="F100" s="5910" t="s">
        <v>2213</v>
      </c>
      <c r="G100" s="5910" t="s">
        <v>2436</v>
      </c>
      <c r="H100" s="5910" t="s">
        <v>24</v>
      </c>
      <c r="I100" s="5910" t="s">
        <v>761</v>
      </c>
    </row>
    <row customHeight="1" ht="11.25">
      <c r="A101" s="5910" t="s">
        <v>2181</v>
      </c>
      <c r="B101" s="5910" t="s">
        <v>14</v>
      </c>
      <c r="C101" s="5910" t="s">
        <v>2437</v>
      </c>
      <c r="D101" s="5910" t="s">
        <v>45</v>
      </c>
      <c r="E101" s="5910" t="s">
        <v>2438</v>
      </c>
      <c r="F101" s="5910" t="s">
        <v>2289</v>
      </c>
      <c r="G101" s="5910" t="s">
        <v>2408</v>
      </c>
      <c r="H101" s="5910" t="s">
        <v>24</v>
      </c>
      <c r="I101" s="5910" t="s">
        <v>761</v>
      </c>
    </row>
    <row customHeight="1" ht="11.25">
      <c r="A102" s="5910" t="s">
        <v>2181</v>
      </c>
      <c r="B102" s="5910" t="s">
        <v>14</v>
      </c>
      <c r="C102" s="5910" t="s">
        <v>2439</v>
      </c>
      <c r="D102" s="5910" t="s">
        <v>45</v>
      </c>
      <c r="E102" s="5910" t="s">
        <v>48</v>
      </c>
      <c r="F102" s="5910" t="s">
        <v>50</v>
      </c>
      <c r="G102" s="5910" t="s">
        <v>2440</v>
      </c>
      <c r="H102" s="5910" t="s">
        <v>24</v>
      </c>
      <c r="I102" s="5910" t="s">
        <v>761</v>
      </c>
    </row>
    <row customHeight="1" ht="11.25">
      <c r="A103" s="5910" t="s">
        <v>2181</v>
      </c>
      <c r="B103" s="5910" t="s">
        <v>14</v>
      </c>
      <c r="C103" s="5910" t="s">
        <v>2441</v>
      </c>
      <c r="D103" s="5910" t="s">
        <v>45</v>
      </c>
      <c r="E103" s="5910" t="s">
        <v>2442</v>
      </c>
      <c r="F103" s="5910" t="s">
        <v>2231</v>
      </c>
      <c r="G103" s="5910" t="s">
        <v>24</v>
      </c>
      <c r="H103" s="5910" t="s">
        <v>24</v>
      </c>
      <c r="I103" s="5910" t="s">
        <v>761</v>
      </c>
    </row>
    <row customHeight="1" ht="11.25">
      <c r="A104" s="5910" t="s">
        <v>2181</v>
      </c>
      <c r="B104" s="5910" t="s">
        <v>14</v>
      </c>
      <c r="C104" s="5910" t="s">
        <v>2443</v>
      </c>
      <c r="D104" s="5910" t="s">
        <v>2444</v>
      </c>
      <c r="E104" s="5910" t="s">
        <v>2445</v>
      </c>
      <c r="F104" s="5910" t="s">
        <v>2245</v>
      </c>
      <c r="G104" s="5910" t="s">
        <v>24</v>
      </c>
      <c r="H104" s="5910" t="s">
        <v>24</v>
      </c>
      <c r="I104" s="5910" t="s">
        <v>761</v>
      </c>
    </row>
    <row customHeight="1" ht="11.25">
      <c r="A105" s="5910" t="s">
        <v>2181</v>
      </c>
      <c r="B105" s="5910" t="s">
        <v>14</v>
      </c>
      <c r="C105" s="5910" t="s">
        <v>2446</v>
      </c>
      <c r="D105" s="5910" t="s">
        <v>2447</v>
      </c>
      <c r="E105" s="5910" t="s">
        <v>2448</v>
      </c>
      <c r="F105" s="5910" t="s">
        <v>2293</v>
      </c>
      <c r="G105" s="5910" t="s">
        <v>24</v>
      </c>
      <c r="H105" s="5910" t="s">
        <v>24</v>
      </c>
      <c r="I105" s="5910" t="s">
        <v>761</v>
      </c>
    </row>
    <row customHeight="1" ht="11.25">
      <c r="A106" s="5910" t="s">
        <v>2181</v>
      </c>
      <c r="B106" s="5910" t="s">
        <v>14</v>
      </c>
      <c r="C106" s="5910" t="s">
        <v>2449</v>
      </c>
      <c r="D106" s="5910" t="s">
        <v>2450</v>
      </c>
      <c r="E106" s="5910" t="s">
        <v>2451</v>
      </c>
      <c r="F106" s="5910" t="s">
        <v>2428</v>
      </c>
      <c r="G106" s="5910" t="s">
        <v>2452</v>
      </c>
      <c r="H106" s="5910" t="s">
        <v>24</v>
      </c>
      <c r="I106" s="5910" t="s">
        <v>761</v>
      </c>
    </row>
    <row customHeight="1" ht="11.25">
      <c r="A107" s="5910" t="s">
        <v>2181</v>
      </c>
      <c r="B107" s="5910" t="s">
        <v>14</v>
      </c>
      <c r="C107" s="5910" t="s">
        <v>2228</v>
      </c>
      <c r="D107" s="5910" t="s">
        <v>2229</v>
      </c>
      <c r="E107" s="5910" t="s">
        <v>2230</v>
      </c>
      <c r="F107" s="5910" t="s">
        <v>2231</v>
      </c>
      <c r="G107" s="5910" t="s">
        <v>2232</v>
      </c>
      <c r="H107" s="5910" t="s">
        <v>24</v>
      </c>
      <c r="I107" s="5910" t="s">
        <v>761</v>
      </c>
    </row>
    <row customHeight="1" ht="11.25">
      <c r="A108" s="5910" t="s">
        <v>2181</v>
      </c>
      <c r="B108" s="5910" t="s">
        <v>14</v>
      </c>
      <c r="C108" s="5910" t="s">
        <v>2453</v>
      </c>
      <c r="D108" s="5910" t="s">
        <v>2454</v>
      </c>
      <c r="E108" s="5910" t="s">
        <v>2455</v>
      </c>
      <c r="F108" s="5910" t="s">
        <v>2213</v>
      </c>
      <c r="G108" s="5910" t="s">
        <v>2456</v>
      </c>
      <c r="H108" s="5910" t="s">
        <v>24</v>
      </c>
      <c r="I108" s="5910" t="s">
        <v>761</v>
      </c>
    </row>
    <row customHeight="1" ht="11.25">
      <c r="A109" s="5910" t="s">
        <v>2181</v>
      </c>
      <c r="B109" s="5910" t="s">
        <v>14</v>
      </c>
      <c r="C109" s="5910" t="s">
        <v>2457</v>
      </c>
      <c r="D109" s="5910" t="s">
        <v>2458</v>
      </c>
      <c r="E109" s="5910" t="s">
        <v>2459</v>
      </c>
      <c r="F109" s="5910" t="s">
        <v>2315</v>
      </c>
      <c r="G109" s="5910" t="s">
        <v>2460</v>
      </c>
      <c r="H109" s="5910" t="s">
        <v>24</v>
      </c>
      <c r="I109" s="5910" t="s">
        <v>761</v>
      </c>
    </row>
    <row customHeight="1" ht="11.25">
      <c r="A110" s="5910" t="s">
        <v>2181</v>
      </c>
      <c r="B110" s="5910" t="s">
        <v>14</v>
      </c>
      <c r="C110" s="5910" t="s">
        <v>2461</v>
      </c>
      <c r="D110" s="5910" t="s">
        <v>2462</v>
      </c>
      <c r="E110" s="5910" t="s">
        <v>2463</v>
      </c>
      <c r="F110" s="5910" t="s">
        <v>2464</v>
      </c>
      <c r="G110" s="5910" t="s">
        <v>2465</v>
      </c>
      <c r="H110" s="5910" t="s">
        <v>24</v>
      </c>
      <c r="I110" s="5910" t="s">
        <v>761</v>
      </c>
    </row>
    <row customHeight="1" ht="11.25">
      <c r="A111" s="5910" t="s">
        <v>2181</v>
      </c>
      <c r="B111" s="5910" t="s">
        <v>14</v>
      </c>
      <c r="C111" s="5910" t="s">
        <v>2466</v>
      </c>
      <c r="D111" s="5910" t="s">
        <v>2467</v>
      </c>
      <c r="E111" s="5910" t="s">
        <v>2468</v>
      </c>
      <c r="F111" s="5910" t="s">
        <v>2423</v>
      </c>
      <c r="G111" s="5910" t="s">
        <v>2469</v>
      </c>
      <c r="H111" s="5910" t="s">
        <v>24</v>
      </c>
      <c r="I111" s="5910" t="s">
        <v>761</v>
      </c>
    </row>
    <row customHeight="1" ht="11.25">
      <c r="A112" s="5910" t="s">
        <v>2181</v>
      </c>
      <c r="B112" s="5910" t="s">
        <v>14</v>
      </c>
      <c r="C112" s="5910" t="s">
        <v>2242</v>
      </c>
      <c r="D112" s="5910" t="s">
        <v>2243</v>
      </c>
      <c r="E112" s="5910" t="s">
        <v>2244</v>
      </c>
      <c r="F112" s="5910" t="s">
        <v>2245</v>
      </c>
      <c r="G112" s="5910" t="s">
        <v>24</v>
      </c>
      <c r="H112" s="5910" t="s">
        <v>24</v>
      </c>
      <c r="I112" s="5910" t="s">
        <v>761</v>
      </c>
    </row>
    <row customHeight="1" ht="11.25">
      <c r="A113" s="5910" t="s">
        <v>2181</v>
      </c>
      <c r="B113" s="5910" t="s">
        <v>14</v>
      </c>
      <c r="C113" s="5910" t="s">
        <v>2246</v>
      </c>
      <c r="D113" s="5910" t="s">
        <v>2247</v>
      </c>
      <c r="E113" s="5910" t="s">
        <v>2248</v>
      </c>
      <c r="F113" s="5910" t="s">
        <v>2249</v>
      </c>
      <c r="G113" s="5910" t="s">
        <v>2250</v>
      </c>
      <c r="H113" s="5910" t="s">
        <v>24</v>
      </c>
      <c r="I113" s="5910" t="s">
        <v>761</v>
      </c>
    </row>
    <row customHeight="1" ht="11.25">
      <c r="A114" s="5910" t="s">
        <v>2181</v>
      </c>
      <c r="B114" s="5910" t="s">
        <v>14</v>
      </c>
      <c r="C114" s="5910" t="s">
        <v>2470</v>
      </c>
      <c r="D114" s="5910" t="s">
        <v>2471</v>
      </c>
      <c r="E114" s="5910" t="s">
        <v>2472</v>
      </c>
      <c r="F114" s="5910" t="s">
        <v>2265</v>
      </c>
      <c r="G114" s="5910" t="s">
        <v>2473</v>
      </c>
      <c r="H114" s="5910" t="s">
        <v>24</v>
      </c>
      <c r="I114" s="5910" t="s">
        <v>761</v>
      </c>
    </row>
    <row customHeight="1" ht="11.25">
      <c r="A115" s="5910" t="s">
        <v>2181</v>
      </c>
      <c r="B115" s="5910" t="s">
        <v>14</v>
      </c>
      <c r="C115" s="5910" t="s">
        <v>2474</v>
      </c>
      <c r="D115" s="5910" t="s">
        <v>2475</v>
      </c>
      <c r="E115" s="5910" t="s">
        <v>2476</v>
      </c>
      <c r="F115" s="5910" t="s">
        <v>2202</v>
      </c>
      <c r="G115" s="5910" t="s">
        <v>2477</v>
      </c>
      <c r="H115" s="5910" t="s">
        <v>24</v>
      </c>
      <c r="I115" s="5910" t="s">
        <v>761</v>
      </c>
    </row>
    <row customHeight="1" ht="11.25">
      <c r="A116" s="5910" t="s">
        <v>2181</v>
      </c>
      <c r="B116" s="5910" t="s">
        <v>14</v>
      </c>
      <c r="C116" s="5910" t="s">
        <v>2267</v>
      </c>
      <c r="D116" s="5910" t="s">
        <v>2268</v>
      </c>
      <c r="E116" s="5910" t="s">
        <v>2269</v>
      </c>
      <c r="F116" s="5910" t="s">
        <v>50</v>
      </c>
      <c r="G116" s="5910" t="s">
        <v>2270</v>
      </c>
      <c r="H116" s="5910" t="s">
        <v>24</v>
      </c>
      <c r="I116" s="5910" t="s">
        <v>761</v>
      </c>
    </row>
    <row customHeight="1" ht="11.25">
      <c r="A117" s="5910" t="s">
        <v>2181</v>
      </c>
      <c r="B117" s="5910" t="s">
        <v>14</v>
      </c>
      <c r="C117" s="5910" t="s">
        <v>2478</v>
      </c>
      <c r="D117" s="5910" t="s">
        <v>2479</v>
      </c>
      <c r="E117" s="5910" t="s">
        <v>2480</v>
      </c>
      <c r="F117" s="5910" t="s">
        <v>2293</v>
      </c>
      <c r="G117" s="5910" t="s">
        <v>2481</v>
      </c>
      <c r="H117" s="5910" t="s">
        <v>24</v>
      </c>
      <c r="I117" s="5910" t="s">
        <v>761</v>
      </c>
    </row>
    <row customHeight="1" ht="11.25">
      <c r="A118" s="5910" t="s">
        <v>2181</v>
      </c>
      <c r="B118" s="5910" t="s">
        <v>14</v>
      </c>
      <c r="C118" s="5910" t="s">
        <v>2482</v>
      </c>
      <c r="D118" s="5910" t="s">
        <v>2483</v>
      </c>
      <c r="E118" s="5910" t="s">
        <v>2484</v>
      </c>
      <c r="F118" s="5910" t="s">
        <v>2404</v>
      </c>
      <c r="G118" s="5910" t="s">
        <v>24</v>
      </c>
      <c r="H118" s="5910" t="s">
        <v>24</v>
      </c>
      <c r="I118" s="5910" t="s">
        <v>761</v>
      </c>
    </row>
    <row customHeight="1" ht="11.25">
      <c r="A119" s="5910" t="s">
        <v>2181</v>
      </c>
      <c r="B119" s="5910" t="s">
        <v>14</v>
      </c>
      <c r="C119" s="5910" t="s">
        <v>2485</v>
      </c>
      <c r="D119" s="5910" t="s">
        <v>2486</v>
      </c>
      <c r="E119" s="5910" t="s">
        <v>2487</v>
      </c>
      <c r="F119" s="5910" t="s">
        <v>50</v>
      </c>
      <c r="G119" s="5910" t="s">
        <v>24</v>
      </c>
      <c r="H119" s="5910" t="s">
        <v>24</v>
      </c>
      <c r="I119" s="5910" t="s">
        <v>761</v>
      </c>
    </row>
    <row customHeight="1" ht="11.25">
      <c r="A120" s="5910" t="s">
        <v>2181</v>
      </c>
      <c r="B120" s="5910" t="s">
        <v>14</v>
      </c>
      <c r="C120" s="5910" t="s">
        <v>2488</v>
      </c>
      <c r="D120" s="5910" t="s">
        <v>2489</v>
      </c>
      <c r="E120" s="5910" t="s">
        <v>2490</v>
      </c>
      <c r="F120" s="5910" t="s">
        <v>2428</v>
      </c>
      <c r="G120" s="5910" t="s">
        <v>2491</v>
      </c>
      <c r="H120" s="5910" t="s">
        <v>24</v>
      </c>
      <c r="I120" s="5910" t="s">
        <v>761</v>
      </c>
    </row>
    <row customHeight="1" ht="11.25">
      <c r="A121" s="5910" t="s">
        <v>2181</v>
      </c>
      <c r="B121" s="5910" t="s">
        <v>14</v>
      </c>
      <c r="C121" s="5910" t="s">
        <v>2492</v>
      </c>
      <c r="D121" s="5910" t="s">
        <v>2493</v>
      </c>
      <c r="E121" s="5910" t="s">
        <v>2494</v>
      </c>
      <c r="F121" s="5910" t="s">
        <v>2213</v>
      </c>
      <c r="G121" s="5910" t="s">
        <v>2495</v>
      </c>
      <c r="H121" s="5910" t="s">
        <v>24</v>
      </c>
      <c r="I121" s="5910" t="s">
        <v>761</v>
      </c>
    </row>
    <row customHeight="1" ht="11.25">
      <c r="A122" s="5910" t="s">
        <v>2181</v>
      </c>
      <c r="B122" s="5910" t="s">
        <v>14</v>
      </c>
      <c r="C122" s="5910" t="s">
        <v>2496</v>
      </c>
      <c r="D122" s="5910" t="s">
        <v>2497</v>
      </c>
      <c r="E122" s="5910" t="s">
        <v>2498</v>
      </c>
      <c r="F122" s="5910" t="s">
        <v>2213</v>
      </c>
      <c r="G122" s="5910" t="s">
        <v>2499</v>
      </c>
      <c r="H122" s="5910" t="s">
        <v>24</v>
      </c>
      <c r="I122" s="5910" t="s">
        <v>761</v>
      </c>
    </row>
    <row customHeight="1" ht="11.25">
      <c r="A123" s="5910" t="s">
        <v>2181</v>
      </c>
      <c r="B123" s="5910" t="s">
        <v>14</v>
      </c>
      <c r="C123" s="5910" t="s">
        <v>2278</v>
      </c>
      <c r="D123" s="5910" t="s">
        <v>2279</v>
      </c>
      <c r="E123" s="5910" t="s">
        <v>2280</v>
      </c>
      <c r="F123" s="5910" t="s">
        <v>2218</v>
      </c>
      <c r="G123" s="5910" t="s">
        <v>2281</v>
      </c>
      <c r="H123" s="5910" t="s">
        <v>24</v>
      </c>
      <c r="I123" s="5910" t="s">
        <v>761</v>
      </c>
    </row>
    <row customHeight="1" ht="11.25">
      <c r="A124" s="5910" t="s">
        <v>2181</v>
      </c>
      <c r="B124" s="5910" t="s">
        <v>14</v>
      </c>
      <c r="C124" s="5910" t="s">
        <v>2500</v>
      </c>
      <c r="D124" s="5910" t="s">
        <v>2501</v>
      </c>
      <c r="E124" s="5910" t="s">
        <v>2502</v>
      </c>
      <c r="F124" s="5910" t="s">
        <v>2464</v>
      </c>
      <c r="G124" s="5910" t="s">
        <v>24</v>
      </c>
      <c r="H124" s="5910" t="s">
        <v>24</v>
      </c>
      <c r="I124" s="5910" t="s">
        <v>761</v>
      </c>
    </row>
    <row customHeight="1" ht="11.25">
      <c r="A125" s="5910" t="s">
        <v>2181</v>
      </c>
      <c r="B125" s="5910" t="s">
        <v>14</v>
      </c>
      <c r="C125" s="5910" t="s">
        <v>2503</v>
      </c>
      <c r="D125" s="5910" t="s">
        <v>2504</v>
      </c>
      <c r="E125" s="5910" t="s">
        <v>2505</v>
      </c>
      <c r="F125" s="5910" t="s">
        <v>2277</v>
      </c>
      <c r="G125" s="5910" t="s">
        <v>2506</v>
      </c>
      <c r="H125" s="5910" t="s">
        <v>24</v>
      </c>
      <c r="I125" s="5910" t="s">
        <v>761</v>
      </c>
    </row>
    <row customHeight="1" ht="11.25">
      <c r="A126" s="5910" t="s">
        <v>2181</v>
      </c>
      <c r="B126" s="5910" t="s">
        <v>14</v>
      </c>
      <c r="C126" s="5910" t="s">
        <v>2507</v>
      </c>
      <c r="D126" s="5910" t="s">
        <v>2508</v>
      </c>
      <c r="E126" s="5910" t="s">
        <v>2509</v>
      </c>
      <c r="F126" s="5910" t="s">
        <v>2245</v>
      </c>
      <c r="G126" s="5910" t="s">
        <v>24</v>
      </c>
      <c r="H126" s="5910" t="s">
        <v>24</v>
      </c>
      <c r="I126" s="5910" t="s">
        <v>761</v>
      </c>
    </row>
    <row customHeight="1" ht="11.25">
      <c r="A127" s="5910" t="s">
        <v>2181</v>
      </c>
      <c r="B127" s="5910" t="s">
        <v>14</v>
      </c>
      <c r="C127" s="5910" t="s">
        <v>2510</v>
      </c>
      <c r="D127" s="5910" t="s">
        <v>2511</v>
      </c>
      <c r="E127" s="5910" t="s">
        <v>2512</v>
      </c>
      <c r="F127" s="5910" t="s">
        <v>2404</v>
      </c>
      <c r="G127" s="5910" t="s">
        <v>2513</v>
      </c>
      <c r="H127" s="5910" t="s">
        <v>2514</v>
      </c>
      <c r="I127" s="5910" t="s">
        <v>761</v>
      </c>
    </row>
    <row customHeight="1" ht="11.25">
      <c r="A128" s="5910" t="s">
        <v>2181</v>
      </c>
      <c r="B128" s="5910" t="s">
        <v>14</v>
      </c>
      <c r="C128" s="5910" t="s">
        <v>2515</v>
      </c>
      <c r="D128" s="5910" t="s">
        <v>2516</v>
      </c>
      <c r="E128" s="5910" t="s">
        <v>2517</v>
      </c>
      <c r="F128" s="5910" t="s">
        <v>2464</v>
      </c>
      <c r="G128" s="5910" t="s">
        <v>24</v>
      </c>
      <c r="H128" s="5910" t="s">
        <v>24</v>
      </c>
      <c r="I128" s="5910" t="s">
        <v>761</v>
      </c>
    </row>
    <row customHeight="1" ht="11.25">
      <c r="A129" s="5910" t="s">
        <v>2181</v>
      </c>
      <c r="B129" s="5910" t="s">
        <v>14</v>
      </c>
      <c r="C129" s="5910" t="s">
        <v>2518</v>
      </c>
      <c r="D129" s="5910" t="s">
        <v>2519</v>
      </c>
      <c r="E129" s="5910" t="s">
        <v>2520</v>
      </c>
      <c r="F129" s="5910" t="s">
        <v>2202</v>
      </c>
      <c r="G129" s="5910" t="s">
        <v>2521</v>
      </c>
      <c r="H129" s="5910" t="s">
        <v>24</v>
      </c>
      <c r="I129" s="5910" t="s">
        <v>761</v>
      </c>
    </row>
    <row customHeight="1" ht="11.25">
      <c r="A130" s="5910" t="s">
        <v>2181</v>
      </c>
      <c r="B130" s="5910" t="s">
        <v>14</v>
      </c>
      <c r="C130" s="5910" t="s">
        <v>2522</v>
      </c>
      <c r="D130" s="5910" t="s">
        <v>2523</v>
      </c>
      <c r="E130" s="5910" t="s">
        <v>2524</v>
      </c>
      <c r="F130" s="5910" t="s">
        <v>2428</v>
      </c>
      <c r="G130" s="5910" t="s">
        <v>2525</v>
      </c>
      <c r="H130" s="5910" t="s">
        <v>24</v>
      </c>
      <c r="I130" s="5910" t="s">
        <v>761</v>
      </c>
    </row>
    <row customHeight="1" ht="11.25">
      <c r="A131" s="5910" t="s">
        <v>2181</v>
      </c>
      <c r="B131" s="5910" t="s">
        <v>14</v>
      </c>
      <c r="C131" s="5910" t="s">
        <v>2526</v>
      </c>
      <c r="D131" s="5910" t="s">
        <v>2527</v>
      </c>
      <c r="E131" s="5910" t="s">
        <v>2528</v>
      </c>
      <c r="F131" s="5910" t="s">
        <v>2428</v>
      </c>
      <c r="G131" s="5910" t="s">
        <v>2529</v>
      </c>
      <c r="H131" s="5910" t="s">
        <v>24</v>
      </c>
      <c r="I131" s="5910" t="s">
        <v>761</v>
      </c>
    </row>
    <row customHeight="1" ht="11.25">
      <c r="A132" s="5910" t="s">
        <v>2181</v>
      </c>
      <c r="B132" s="5910" t="s">
        <v>14</v>
      </c>
      <c r="C132" s="5910" t="s">
        <v>2530</v>
      </c>
      <c r="D132" s="5910" t="s">
        <v>2531</v>
      </c>
      <c r="E132" s="5910" t="s">
        <v>2532</v>
      </c>
      <c r="F132" s="5910" t="s">
        <v>2464</v>
      </c>
      <c r="G132" s="5910" t="s">
        <v>24</v>
      </c>
      <c r="H132" s="5910" t="s">
        <v>24</v>
      </c>
      <c r="I132" s="5910" t="s">
        <v>761</v>
      </c>
    </row>
    <row customHeight="1" ht="11.25">
      <c r="A133" s="5910" t="s">
        <v>2181</v>
      </c>
      <c r="B133" s="5910" t="s">
        <v>14</v>
      </c>
      <c r="C133" s="5910" t="s">
        <v>2533</v>
      </c>
      <c r="D133" s="5910" t="s">
        <v>2534</v>
      </c>
      <c r="E133" s="5910" t="s">
        <v>2535</v>
      </c>
      <c r="F133" s="5910" t="s">
        <v>2464</v>
      </c>
      <c r="G133" s="5910" t="s">
        <v>24</v>
      </c>
      <c r="H133" s="5910" t="s">
        <v>24</v>
      </c>
      <c r="I133" s="5910" t="s">
        <v>761</v>
      </c>
    </row>
    <row customHeight="1" ht="11.25">
      <c r="A134" s="5910" t="s">
        <v>2181</v>
      </c>
      <c r="B134" s="5910" t="s">
        <v>14</v>
      </c>
      <c r="C134" s="5910" t="s">
        <v>2536</v>
      </c>
      <c r="D134" s="5910" t="s">
        <v>2537</v>
      </c>
      <c r="E134" s="5910" t="s">
        <v>2538</v>
      </c>
      <c r="F134" s="5910" t="s">
        <v>2539</v>
      </c>
      <c r="G134" s="5910" t="s">
        <v>2540</v>
      </c>
      <c r="H134" s="5910" t="s">
        <v>24</v>
      </c>
      <c r="I134" s="5910" t="s">
        <v>761</v>
      </c>
    </row>
    <row customHeight="1" ht="11.25">
      <c r="A135" s="5910" t="s">
        <v>2181</v>
      </c>
      <c r="B135" s="5910" t="s">
        <v>14</v>
      </c>
      <c r="C135" s="5910" t="s">
        <v>2541</v>
      </c>
      <c r="D135" s="5910" t="s">
        <v>2542</v>
      </c>
      <c r="E135" s="5910" t="s">
        <v>2543</v>
      </c>
      <c r="F135" s="5910" t="s">
        <v>2544</v>
      </c>
      <c r="G135" s="5910" t="s">
        <v>24</v>
      </c>
      <c r="H135" s="5910" t="s">
        <v>24</v>
      </c>
      <c r="I135" s="5910" t="s">
        <v>761</v>
      </c>
    </row>
    <row customHeight="1" ht="11.25">
      <c r="A136" s="5910" t="s">
        <v>2181</v>
      </c>
      <c r="B136" s="5910" t="s">
        <v>14</v>
      </c>
      <c r="C136" s="5910" t="s">
        <v>2545</v>
      </c>
      <c r="D136" s="5910" t="s">
        <v>2546</v>
      </c>
      <c r="E136" s="5910" t="s">
        <v>2547</v>
      </c>
      <c r="F136" s="5910" t="s">
        <v>2548</v>
      </c>
      <c r="G136" s="5910" t="s">
        <v>2549</v>
      </c>
      <c r="H136" s="5910" t="s">
        <v>24</v>
      </c>
      <c r="I136" s="5910" t="s">
        <v>761</v>
      </c>
    </row>
    <row customHeight="1" ht="11.25">
      <c r="A137" s="5910" t="s">
        <v>2181</v>
      </c>
      <c r="B137" s="5910" t="s">
        <v>14</v>
      </c>
      <c r="C137" s="5910" t="s">
        <v>2550</v>
      </c>
      <c r="D137" s="5910" t="s">
        <v>2551</v>
      </c>
      <c r="E137" s="5910" t="s">
        <v>2552</v>
      </c>
      <c r="F137" s="5910" t="s">
        <v>2404</v>
      </c>
      <c r="G137" s="5910" t="s">
        <v>24</v>
      </c>
      <c r="H137" s="5910" t="s">
        <v>24</v>
      </c>
      <c r="I137" s="5910" t="s">
        <v>761</v>
      </c>
    </row>
    <row customHeight="1" ht="11.25">
      <c r="A138" s="5910" t="s">
        <v>2181</v>
      </c>
      <c r="B138" s="5910" t="s">
        <v>14</v>
      </c>
      <c r="C138" s="5910" t="s">
        <v>2553</v>
      </c>
      <c r="D138" s="5910" t="s">
        <v>2554</v>
      </c>
      <c r="E138" s="5910" t="s">
        <v>2555</v>
      </c>
      <c r="F138" s="5910" t="s">
        <v>2202</v>
      </c>
      <c r="G138" s="5910" t="s">
        <v>24</v>
      </c>
      <c r="H138" s="5910" t="s">
        <v>24</v>
      </c>
      <c r="I138" s="5910" t="s">
        <v>761</v>
      </c>
    </row>
    <row customHeight="1" ht="11.25">
      <c r="A139" s="5910" t="s">
        <v>2181</v>
      </c>
      <c r="B139" s="5910" t="s">
        <v>14</v>
      </c>
      <c r="C139" s="5910" t="s">
        <v>2306</v>
      </c>
      <c r="D139" s="5910" t="s">
        <v>2307</v>
      </c>
      <c r="E139" s="5910" t="s">
        <v>2308</v>
      </c>
      <c r="F139" s="5910" t="s">
        <v>2202</v>
      </c>
      <c r="G139" s="5910" t="s">
        <v>24</v>
      </c>
      <c r="H139" s="5910" t="s">
        <v>24</v>
      </c>
      <c r="I139" s="5910" t="s">
        <v>761</v>
      </c>
    </row>
    <row customHeight="1" ht="11.25">
      <c r="A140" s="5910" t="s">
        <v>2181</v>
      </c>
      <c r="B140" s="5910" t="s">
        <v>14</v>
      </c>
      <c r="C140" s="5910" t="s">
        <v>2309</v>
      </c>
      <c r="D140" s="5910" t="s">
        <v>2310</v>
      </c>
      <c r="E140" s="5910" t="s">
        <v>2311</v>
      </c>
      <c r="F140" s="5910" t="s">
        <v>2202</v>
      </c>
      <c r="G140" s="5910" t="s">
        <v>24</v>
      </c>
      <c r="H140" s="5910" t="s">
        <v>24</v>
      </c>
      <c r="I140" s="5910" t="s">
        <v>761</v>
      </c>
    </row>
    <row customHeight="1" ht="11.25">
      <c r="A141" s="5910" t="s">
        <v>2181</v>
      </c>
      <c r="B141" s="5910" t="s">
        <v>14</v>
      </c>
      <c r="C141" s="5910" t="s">
        <v>2556</v>
      </c>
      <c r="D141" s="5910" t="s">
        <v>2557</v>
      </c>
      <c r="E141" s="5910" t="s">
        <v>2558</v>
      </c>
      <c r="F141" s="5910" t="s">
        <v>2315</v>
      </c>
      <c r="G141" s="5910" t="s">
        <v>24</v>
      </c>
      <c r="H141" s="5910" t="s">
        <v>24</v>
      </c>
      <c r="I141" s="5910" t="s">
        <v>761</v>
      </c>
    </row>
    <row customHeight="1" ht="11.25">
      <c r="A142" s="5910" t="s">
        <v>2181</v>
      </c>
      <c r="B142" s="5910" t="s">
        <v>14</v>
      </c>
      <c r="C142" s="5910" t="s">
        <v>2559</v>
      </c>
      <c r="D142" s="5910" t="s">
        <v>2560</v>
      </c>
      <c r="E142" s="5910" t="s">
        <v>2561</v>
      </c>
      <c r="F142" s="5910" t="s">
        <v>2293</v>
      </c>
      <c r="G142" s="5910" t="s">
        <v>24</v>
      </c>
      <c r="H142" s="5910" t="s">
        <v>24</v>
      </c>
      <c r="I142" s="5910" t="s">
        <v>761</v>
      </c>
    </row>
    <row customHeight="1" ht="11.25">
      <c r="A143" s="5910" t="s">
        <v>2181</v>
      </c>
      <c r="B143" s="5910" t="s">
        <v>14</v>
      </c>
      <c r="C143" s="5910" t="s">
        <v>2562</v>
      </c>
      <c r="D143" s="5910" t="s">
        <v>2563</v>
      </c>
      <c r="E143" s="5910" t="s">
        <v>2564</v>
      </c>
      <c r="F143" s="5910" t="s">
        <v>2277</v>
      </c>
      <c r="G143" s="5910" t="s">
        <v>2565</v>
      </c>
      <c r="H143" s="5910" t="s">
        <v>24</v>
      </c>
      <c r="I143" s="5910" t="s">
        <v>761</v>
      </c>
    </row>
    <row customHeight="1" ht="11.25">
      <c r="A144" s="5910" t="s">
        <v>2181</v>
      </c>
      <c r="B144" s="5910" t="s">
        <v>14</v>
      </c>
      <c r="C144" s="5910" t="s">
        <v>2566</v>
      </c>
      <c r="D144" s="5910" t="s">
        <v>2567</v>
      </c>
      <c r="E144" s="5910" t="s">
        <v>2568</v>
      </c>
      <c r="F144" s="5910" t="s">
        <v>2464</v>
      </c>
      <c r="G144" s="5910" t="s">
        <v>2569</v>
      </c>
      <c r="H144" s="5910" t="s">
        <v>24</v>
      </c>
      <c r="I144" s="5910" t="s">
        <v>761</v>
      </c>
    </row>
    <row customHeight="1" ht="11.25">
      <c r="A145" s="5910" t="s">
        <v>2181</v>
      </c>
      <c r="B145" s="5910" t="s">
        <v>14</v>
      </c>
      <c r="C145" s="5910" t="s">
        <v>2570</v>
      </c>
      <c r="D145" s="5910" t="s">
        <v>2571</v>
      </c>
      <c r="E145" s="5910" t="s">
        <v>2572</v>
      </c>
      <c r="F145" s="5910" t="s">
        <v>2202</v>
      </c>
      <c r="G145" s="5910" t="s">
        <v>24</v>
      </c>
      <c r="H145" s="5910" t="s">
        <v>24</v>
      </c>
      <c r="I145" s="5910" t="s">
        <v>761</v>
      </c>
    </row>
    <row customHeight="1" ht="11.25">
      <c r="A146" s="5910" t="s">
        <v>2181</v>
      </c>
      <c r="B146" s="5910" t="s">
        <v>14</v>
      </c>
      <c r="C146" s="5910" t="s">
        <v>2573</v>
      </c>
      <c r="D146" s="5910" t="s">
        <v>2574</v>
      </c>
      <c r="E146" s="5910" t="s">
        <v>2575</v>
      </c>
      <c r="F146" s="5910" t="s">
        <v>2249</v>
      </c>
      <c r="G146" s="5910" t="s">
        <v>24</v>
      </c>
      <c r="H146" s="5910" t="s">
        <v>2576</v>
      </c>
      <c r="I146" s="5910" t="s">
        <v>761</v>
      </c>
    </row>
    <row customHeight="1" ht="11.25">
      <c r="A147" s="5910" t="s">
        <v>2181</v>
      </c>
      <c r="B147" s="5910" t="s">
        <v>14</v>
      </c>
      <c r="C147" s="5910" t="s">
        <v>2577</v>
      </c>
      <c r="D147" s="5910" t="s">
        <v>2578</v>
      </c>
      <c r="E147" s="5910" t="s">
        <v>2579</v>
      </c>
      <c r="F147" s="5910" t="s">
        <v>2293</v>
      </c>
      <c r="G147" s="5910" t="s">
        <v>2236</v>
      </c>
      <c r="H147" s="5910" t="s">
        <v>24</v>
      </c>
      <c r="I147" s="5910" t="s">
        <v>761</v>
      </c>
    </row>
    <row customHeight="1" ht="11.25">
      <c r="A148" s="5910" t="s">
        <v>2181</v>
      </c>
      <c r="B148" s="5910" t="s">
        <v>14</v>
      </c>
      <c r="C148" s="5910" t="s">
        <v>2580</v>
      </c>
      <c r="D148" s="5910" t="s">
        <v>2581</v>
      </c>
      <c r="E148" s="5910" t="s">
        <v>2582</v>
      </c>
      <c r="F148" s="5910" t="s">
        <v>2404</v>
      </c>
      <c r="G148" s="5910" t="s">
        <v>24</v>
      </c>
      <c r="H148" s="5910" t="s">
        <v>24</v>
      </c>
      <c r="I148" s="5910" t="s">
        <v>761</v>
      </c>
    </row>
    <row customHeight="1" ht="11.25">
      <c r="A149" s="5910" t="s">
        <v>2181</v>
      </c>
      <c r="B149" s="5910" t="s">
        <v>14</v>
      </c>
      <c r="C149" s="5910" t="s">
        <v>2332</v>
      </c>
      <c r="D149" s="5910" t="s">
        <v>2333</v>
      </c>
      <c r="E149" s="5910" t="s">
        <v>2334</v>
      </c>
      <c r="F149" s="5910" t="s">
        <v>2202</v>
      </c>
      <c r="G149" s="5910" t="s">
        <v>24</v>
      </c>
      <c r="H149" s="5910" t="s">
        <v>24</v>
      </c>
      <c r="I149" s="5910" t="s">
        <v>761</v>
      </c>
    </row>
    <row customHeight="1" ht="11.25">
      <c r="A150" s="5910" t="s">
        <v>2181</v>
      </c>
      <c r="B150" s="5910" t="s">
        <v>14</v>
      </c>
      <c r="C150" s="5910" t="s">
        <v>2583</v>
      </c>
      <c r="D150" s="5910" t="s">
        <v>2584</v>
      </c>
      <c r="E150" s="5910" t="s">
        <v>2585</v>
      </c>
      <c r="F150" s="5910" t="s">
        <v>2202</v>
      </c>
      <c r="G150" s="5910" t="s">
        <v>2586</v>
      </c>
      <c r="H150" s="5910" t="s">
        <v>24</v>
      </c>
      <c r="I150" s="5910" t="s">
        <v>761</v>
      </c>
    </row>
    <row customHeight="1" ht="11.25">
      <c r="A151" s="5910" t="s">
        <v>2181</v>
      </c>
      <c r="B151" s="5910" t="s">
        <v>14</v>
      </c>
      <c r="C151" s="5910" t="s">
        <v>2339</v>
      </c>
      <c r="D151" s="5910" t="s">
        <v>2340</v>
      </c>
      <c r="E151" s="5910" t="s">
        <v>2341</v>
      </c>
      <c r="F151" s="5910" t="s">
        <v>2202</v>
      </c>
      <c r="G151" s="5910" t="s">
        <v>24</v>
      </c>
      <c r="H151" s="5910" t="s">
        <v>24</v>
      </c>
      <c r="I151" s="5910" t="s">
        <v>761</v>
      </c>
    </row>
    <row customHeight="1" ht="11.25">
      <c r="A152" s="5910" t="s">
        <v>2181</v>
      </c>
      <c r="B152" s="5910" t="s">
        <v>14</v>
      </c>
      <c r="C152" s="5910" t="s">
        <v>2587</v>
      </c>
      <c r="D152" s="5910" t="s">
        <v>2588</v>
      </c>
      <c r="E152" s="5910" t="s">
        <v>2589</v>
      </c>
      <c r="F152" s="5910" t="s">
        <v>2202</v>
      </c>
      <c r="G152" s="5910" t="s">
        <v>24</v>
      </c>
      <c r="H152" s="5910" t="s">
        <v>24</v>
      </c>
      <c r="I152" s="5910" t="s">
        <v>761</v>
      </c>
    </row>
    <row customHeight="1" ht="11.25">
      <c r="A153" s="5910" t="s">
        <v>2181</v>
      </c>
      <c r="B153" s="5910" t="s">
        <v>14</v>
      </c>
      <c r="C153" s="5910" t="s">
        <v>2348</v>
      </c>
      <c r="D153" s="5910" t="s">
        <v>2349</v>
      </c>
      <c r="E153" s="5910" t="s">
        <v>2350</v>
      </c>
      <c r="F153" s="5910" t="s">
        <v>2351</v>
      </c>
      <c r="G153" s="5910" t="s">
        <v>24</v>
      </c>
      <c r="H153" s="5910" t="s">
        <v>24</v>
      </c>
      <c r="I153" s="5910" t="s">
        <v>761</v>
      </c>
    </row>
    <row customHeight="1" ht="11.25">
      <c r="A154" s="5910" t="s">
        <v>2181</v>
      </c>
      <c r="B154" s="5910" t="s">
        <v>14</v>
      </c>
      <c r="C154" s="5910" t="s">
        <v>2590</v>
      </c>
      <c r="D154" s="5910" t="s">
        <v>2591</v>
      </c>
      <c r="E154" s="5910" t="s">
        <v>2592</v>
      </c>
      <c r="F154" s="5910" t="s">
        <v>2464</v>
      </c>
      <c r="G154" s="5910" t="s">
        <v>2593</v>
      </c>
      <c r="H154" s="5910" t="s">
        <v>24</v>
      </c>
      <c r="I154" s="5910" t="s">
        <v>761</v>
      </c>
    </row>
    <row customHeight="1" ht="11.25">
      <c r="A155" s="5910" t="s">
        <v>2181</v>
      </c>
      <c r="B155" s="5910" t="s">
        <v>14</v>
      </c>
      <c r="C155" s="5910" t="s">
        <v>2352</v>
      </c>
      <c r="D155" s="5910" t="s">
        <v>2353</v>
      </c>
      <c r="E155" s="5910" t="s">
        <v>2354</v>
      </c>
      <c r="F155" s="5910" t="s">
        <v>2277</v>
      </c>
      <c r="G155" s="5910" t="s">
        <v>2355</v>
      </c>
      <c r="H155" s="5910" t="s">
        <v>24</v>
      </c>
      <c r="I155" s="5910" t="s">
        <v>761</v>
      </c>
    </row>
    <row customHeight="1" ht="11.25">
      <c r="A156" s="5910" t="s">
        <v>2181</v>
      </c>
      <c r="B156" s="5910" t="s">
        <v>14</v>
      </c>
      <c r="C156" s="5910" t="s">
        <v>2594</v>
      </c>
      <c r="D156" s="5910" t="s">
        <v>2595</v>
      </c>
      <c r="E156" s="5910" t="s">
        <v>2596</v>
      </c>
      <c r="F156" s="5910" t="s">
        <v>2222</v>
      </c>
      <c r="G156" s="5910" t="s">
        <v>2597</v>
      </c>
      <c r="H156" s="5910" t="s">
        <v>24</v>
      </c>
      <c r="I156" s="5910" t="s">
        <v>761</v>
      </c>
    </row>
    <row customHeight="1" ht="11.25">
      <c r="A157" s="5910" t="s">
        <v>2181</v>
      </c>
      <c r="B157" s="5910" t="s">
        <v>14</v>
      </c>
      <c r="C157" s="5910" t="s">
        <v>2598</v>
      </c>
      <c r="D157" s="5910" t="s">
        <v>2599</v>
      </c>
      <c r="E157" s="5910" t="s">
        <v>2600</v>
      </c>
      <c r="F157" s="5910" t="s">
        <v>50</v>
      </c>
      <c r="G157" s="5910" t="s">
        <v>2601</v>
      </c>
      <c r="H157" s="5910" t="s">
        <v>24</v>
      </c>
      <c r="I157" s="5910" t="s">
        <v>761</v>
      </c>
    </row>
    <row customHeight="1" ht="11.25">
      <c r="A158" s="5910" t="s">
        <v>2181</v>
      </c>
      <c r="B158" s="5910" t="s">
        <v>14</v>
      </c>
      <c r="C158" s="5910" t="s">
        <v>2602</v>
      </c>
      <c r="D158" s="5910" t="s">
        <v>2603</v>
      </c>
      <c r="E158" s="5910" t="s">
        <v>2604</v>
      </c>
      <c r="F158" s="5910" t="s">
        <v>2464</v>
      </c>
      <c r="G158" s="5910" t="s">
        <v>24</v>
      </c>
      <c r="H158" s="5910" t="s">
        <v>24</v>
      </c>
      <c r="I158" s="5910" t="s">
        <v>761</v>
      </c>
    </row>
    <row customHeight="1" ht="11.25">
      <c r="A159" s="5910" t="s">
        <v>2181</v>
      </c>
      <c r="B159" s="5910" t="s">
        <v>14</v>
      </c>
      <c r="C159" s="5910" t="s">
        <v>2605</v>
      </c>
      <c r="D159" s="5910" t="s">
        <v>2606</v>
      </c>
      <c r="E159" s="5910" t="s">
        <v>2607</v>
      </c>
      <c r="F159" s="5910" t="s">
        <v>2464</v>
      </c>
      <c r="G159" s="5910" t="s">
        <v>2608</v>
      </c>
      <c r="H159" s="5910" t="s">
        <v>24</v>
      </c>
      <c r="I159" s="5910" t="s">
        <v>761</v>
      </c>
    </row>
    <row customHeight="1" ht="11.25">
      <c r="A160" s="5910" t="s">
        <v>2181</v>
      </c>
      <c r="B160" s="5910" t="s">
        <v>14</v>
      </c>
      <c r="C160" s="5910" t="s">
        <v>2609</v>
      </c>
      <c r="D160" s="5910" t="s">
        <v>2610</v>
      </c>
      <c r="E160" s="5910" t="s">
        <v>2611</v>
      </c>
      <c r="F160" s="5910" t="s">
        <v>2464</v>
      </c>
      <c r="G160" s="5910" t="s">
        <v>2612</v>
      </c>
      <c r="H160" s="5910" t="s">
        <v>2549</v>
      </c>
      <c r="I160" s="5910" t="s">
        <v>761</v>
      </c>
    </row>
    <row customHeight="1" ht="11.25">
      <c r="A161" s="5910" t="s">
        <v>2181</v>
      </c>
      <c r="B161" s="5910" t="s">
        <v>14</v>
      </c>
      <c r="C161" s="5910" t="s">
        <v>2613</v>
      </c>
      <c r="D161" s="5910" t="s">
        <v>2614</v>
      </c>
      <c r="E161" s="5910" t="s">
        <v>2615</v>
      </c>
      <c r="F161" s="5910" t="s">
        <v>2315</v>
      </c>
      <c r="G161" s="5910" t="s">
        <v>24</v>
      </c>
      <c r="H161" s="5910" t="s">
        <v>24</v>
      </c>
      <c r="I161" s="5910" t="s">
        <v>761</v>
      </c>
    </row>
    <row customHeight="1" ht="11.25">
      <c r="A162" s="5910" t="s">
        <v>2181</v>
      </c>
      <c r="B162" s="5910" t="s">
        <v>14</v>
      </c>
      <c r="C162" s="5910" t="s">
        <v>2359</v>
      </c>
      <c r="D162" s="5910" t="s">
        <v>2360</v>
      </c>
      <c r="E162" s="5910" t="s">
        <v>2361</v>
      </c>
      <c r="F162" s="5910" t="s">
        <v>2213</v>
      </c>
      <c r="G162" s="5910" t="s">
        <v>2362</v>
      </c>
      <c r="H162" s="5910" t="s">
        <v>24</v>
      </c>
      <c r="I162" s="5910" t="s">
        <v>761</v>
      </c>
    </row>
    <row customHeight="1" ht="11.25">
      <c r="A163" s="5910" t="s">
        <v>2181</v>
      </c>
      <c r="B163" s="5910" t="s">
        <v>14</v>
      </c>
      <c r="C163" s="5910" t="s">
        <v>2366</v>
      </c>
      <c r="D163" s="5910" t="s">
        <v>2367</v>
      </c>
      <c r="E163" s="5910" t="s">
        <v>2368</v>
      </c>
      <c r="F163" s="5910" t="s">
        <v>2369</v>
      </c>
      <c r="G163" s="5910" t="s">
        <v>24</v>
      </c>
      <c r="H163" s="5910" t="s">
        <v>24</v>
      </c>
      <c r="I163" s="5910" t="s">
        <v>761</v>
      </c>
    </row>
    <row customHeight="1" ht="11.25">
      <c r="A164" s="5910" t="s">
        <v>2181</v>
      </c>
      <c r="B164" s="5910" t="s">
        <v>14</v>
      </c>
      <c r="C164" s="5910" t="s">
        <v>2373</v>
      </c>
      <c r="D164" s="5910" t="s">
        <v>2374</v>
      </c>
      <c r="E164" s="5910" t="s">
        <v>2375</v>
      </c>
      <c r="F164" s="5910" t="s">
        <v>50</v>
      </c>
      <c r="G164" s="5910" t="s">
        <v>2376</v>
      </c>
      <c r="H164" s="5910" t="s">
        <v>24</v>
      </c>
      <c r="I164" s="5910" t="s">
        <v>761</v>
      </c>
    </row>
    <row customHeight="1" ht="11.25">
      <c r="A165" s="5910" t="s">
        <v>2181</v>
      </c>
      <c r="B165" s="5910" t="s">
        <v>14</v>
      </c>
      <c r="C165" s="5910" t="s">
        <v>2377</v>
      </c>
      <c r="D165" s="5910" t="s">
        <v>2378</v>
      </c>
      <c r="E165" s="5910" t="s">
        <v>2379</v>
      </c>
      <c r="F165" s="5910" t="s">
        <v>50</v>
      </c>
      <c r="G165" s="5910" t="s">
        <v>2380</v>
      </c>
      <c r="H165" s="5910" t="s">
        <v>24</v>
      </c>
      <c r="I165" s="5910" t="s">
        <v>761</v>
      </c>
    </row>
    <row customHeight="1" ht="11.25">
      <c r="A166" s="5910" t="s">
        <v>2181</v>
      </c>
      <c r="B166" s="5910" t="s">
        <v>14</v>
      </c>
      <c r="C166" s="5910" t="s">
        <v>2616</v>
      </c>
      <c r="D166" s="5910" t="s">
        <v>2617</v>
      </c>
      <c r="E166" s="5910" t="s">
        <v>2618</v>
      </c>
      <c r="F166" s="5910" t="s">
        <v>2202</v>
      </c>
      <c r="G166" s="5910" t="s">
        <v>2619</v>
      </c>
      <c r="H166" s="5910" t="s">
        <v>24</v>
      </c>
      <c r="I166" s="5910" t="s">
        <v>761</v>
      </c>
    </row>
    <row customHeight="1" ht="11.25">
      <c r="A167" s="5910" t="s">
        <v>2181</v>
      </c>
      <c r="B167" s="5910" t="s">
        <v>14</v>
      </c>
      <c r="C167" s="5910" t="s">
        <v>2389</v>
      </c>
      <c r="D167" s="5910" t="s">
        <v>2390</v>
      </c>
      <c r="E167" s="5910" t="s">
        <v>2391</v>
      </c>
      <c r="F167" s="5910" t="s">
        <v>2392</v>
      </c>
      <c r="G167" s="5910" t="s">
        <v>2393</v>
      </c>
      <c r="H167" s="5910" t="s">
        <v>24</v>
      </c>
      <c r="I167" s="5910" t="s">
        <v>761</v>
      </c>
    </row>
    <row customHeight="1" ht="11.25">
      <c r="A168" s="5910" t="s">
        <v>2181</v>
      </c>
      <c r="B168" s="5910" t="s">
        <v>14</v>
      </c>
      <c r="C168" s="5910" t="s">
        <v>2620</v>
      </c>
      <c r="D168" s="5910" t="s">
        <v>2621</v>
      </c>
      <c r="E168" s="5910" t="s">
        <v>2391</v>
      </c>
      <c r="F168" s="5910" t="s">
        <v>2622</v>
      </c>
      <c r="G168" s="5910" t="s">
        <v>2623</v>
      </c>
      <c r="H168" s="5910" t="s">
        <v>24</v>
      </c>
      <c r="I168" s="5910" t="s">
        <v>761</v>
      </c>
    </row>
    <row customHeight="1" ht="11.25">
      <c r="A169" s="5910" t="s">
        <v>2181</v>
      </c>
      <c r="B169" s="5910" t="s">
        <v>14</v>
      </c>
      <c r="C169" s="5910" t="s">
        <v>2394</v>
      </c>
      <c r="D169" s="5910" t="s">
        <v>2395</v>
      </c>
      <c r="E169" s="5910" t="s">
        <v>2368</v>
      </c>
      <c r="F169" s="5910" t="s">
        <v>2396</v>
      </c>
      <c r="G169" s="5910" t="s">
        <v>24</v>
      </c>
      <c r="H169" s="5910" t="s">
        <v>24</v>
      </c>
      <c r="I169" s="5910" t="s">
        <v>761</v>
      </c>
    </row>
    <row customHeight="1" ht="11.25">
      <c r="A170" s="5910" t="s">
        <v>2181</v>
      </c>
      <c r="B170" s="5910" t="s">
        <v>14</v>
      </c>
      <c r="C170" s="5910" t="s">
        <v>2186</v>
      </c>
      <c r="D170" s="5910" t="s">
        <v>2183</v>
      </c>
      <c r="E170" s="5910" t="s">
        <v>2184</v>
      </c>
      <c r="F170" s="5910" t="s">
        <v>2187</v>
      </c>
      <c r="G170" s="5910" t="s">
        <v>24</v>
      </c>
      <c r="H170" s="5910" t="s">
        <v>24</v>
      </c>
      <c r="I170" s="5910" t="s">
        <v>813</v>
      </c>
    </row>
    <row customHeight="1" ht="11.25">
      <c r="A171" s="5910" t="s">
        <v>2181</v>
      </c>
      <c r="B171" s="5910" t="s">
        <v>14</v>
      </c>
      <c r="C171" s="5910" t="s">
        <v>2409</v>
      </c>
      <c r="D171" s="5910" t="s">
        <v>2410</v>
      </c>
      <c r="E171" s="5910" t="s">
        <v>2411</v>
      </c>
      <c r="F171" s="5910" t="s">
        <v>2404</v>
      </c>
      <c r="G171" s="5910" t="s">
        <v>2412</v>
      </c>
      <c r="H171" s="5910" t="s">
        <v>24</v>
      </c>
      <c r="I171" s="5910" t="s">
        <v>813</v>
      </c>
    </row>
    <row customHeight="1" ht="11.25">
      <c r="A172" s="5910" t="s">
        <v>2181</v>
      </c>
      <c r="B172" s="5910" t="s">
        <v>14</v>
      </c>
      <c r="C172" s="5910" t="s">
        <v>2195</v>
      </c>
      <c r="D172" s="5910" t="s">
        <v>2196</v>
      </c>
      <c r="E172" s="5910" t="s">
        <v>2197</v>
      </c>
      <c r="F172" s="5910" t="s">
        <v>50</v>
      </c>
      <c r="G172" s="5910" t="s">
        <v>24</v>
      </c>
      <c r="H172" s="5910" t="s">
        <v>2198</v>
      </c>
      <c r="I172" s="5910" t="s">
        <v>813</v>
      </c>
    </row>
    <row customHeight="1" ht="11.25">
      <c r="A173" s="5910" t="s">
        <v>2181</v>
      </c>
      <c r="B173" s="5910" t="s">
        <v>14</v>
      </c>
      <c r="C173" s="5910" t="s">
        <v>2203</v>
      </c>
      <c r="D173" s="5910" t="s">
        <v>2204</v>
      </c>
      <c r="E173" s="5910" t="s">
        <v>2205</v>
      </c>
      <c r="F173" s="5910" t="s">
        <v>2202</v>
      </c>
      <c r="G173" s="5910" t="s">
        <v>2206</v>
      </c>
      <c r="H173" s="5910" t="s">
        <v>2207</v>
      </c>
      <c r="I173" s="5910" t="s">
        <v>813</v>
      </c>
    </row>
    <row customHeight="1" ht="11.25">
      <c r="A174" s="5910" t="s">
        <v>2181</v>
      </c>
      <c r="B174" s="5910" t="s">
        <v>14</v>
      </c>
      <c r="C174" s="5910" t="s">
        <v>24</v>
      </c>
      <c r="D174" s="5910" t="s">
        <v>2208</v>
      </c>
      <c r="E174" s="5910" t="s">
        <v>2209</v>
      </c>
      <c r="F174" s="5910" t="s">
        <v>50</v>
      </c>
      <c r="G174" s="5910" t="s">
        <v>24</v>
      </c>
      <c r="H174" s="5910" t="s">
        <v>24</v>
      </c>
      <c r="I174" s="5910" t="s">
        <v>813</v>
      </c>
    </row>
    <row customHeight="1" ht="11.25">
      <c r="A175" s="5910" t="s">
        <v>2181</v>
      </c>
      <c r="B175" s="5910" t="s">
        <v>14</v>
      </c>
      <c r="C175" s="5910" t="s">
        <v>2219</v>
      </c>
      <c r="D175" s="5910" t="s">
        <v>2220</v>
      </c>
      <c r="E175" s="5910" t="s">
        <v>2221</v>
      </c>
      <c r="F175" s="5910" t="s">
        <v>2222</v>
      </c>
      <c r="G175" s="5910" t="s">
        <v>2223</v>
      </c>
      <c r="H175" s="5910" t="s">
        <v>24</v>
      </c>
      <c r="I175" s="5910" t="s">
        <v>813</v>
      </c>
    </row>
    <row customHeight="1" ht="11.25">
      <c r="A176" s="5910" t="s">
        <v>2181</v>
      </c>
      <c r="B176" s="5910" t="s">
        <v>14</v>
      </c>
      <c r="C176" s="5910" t="s">
        <v>2425</v>
      </c>
      <c r="D176" s="5910" t="s">
        <v>2426</v>
      </c>
      <c r="E176" s="5910" t="s">
        <v>2427</v>
      </c>
      <c r="F176" s="5910" t="s">
        <v>2428</v>
      </c>
      <c r="G176" s="5910" t="s">
        <v>2429</v>
      </c>
      <c r="H176" s="5910" t="s">
        <v>24</v>
      </c>
      <c r="I176" s="5910" t="s">
        <v>813</v>
      </c>
    </row>
    <row customHeight="1" ht="11.25">
      <c r="A177" s="5910" t="s">
        <v>2181</v>
      </c>
      <c r="B177" s="5910" t="s">
        <v>14</v>
      </c>
      <c r="C177" s="5910" t="s">
        <v>2430</v>
      </c>
      <c r="D177" s="5910" t="s">
        <v>2431</v>
      </c>
      <c r="E177" s="5910" t="s">
        <v>2432</v>
      </c>
      <c r="F177" s="5910" t="s">
        <v>2323</v>
      </c>
      <c r="G177" s="5910" t="s">
        <v>2433</v>
      </c>
      <c r="H177" s="5910" t="s">
        <v>24</v>
      </c>
      <c r="I177" s="5910" t="s">
        <v>813</v>
      </c>
    </row>
    <row customHeight="1" ht="11.25">
      <c r="A178" s="5910" t="s">
        <v>2181</v>
      </c>
      <c r="B178" s="5910" t="s">
        <v>14</v>
      </c>
      <c r="C178" s="5910" t="s">
        <v>2434</v>
      </c>
      <c r="D178" s="5910" t="s">
        <v>45</v>
      </c>
      <c r="E178" s="5910" t="s">
        <v>2435</v>
      </c>
      <c r="F178" s="5910" t="s">
        <v>2213</v>
      </c>
      <c r="G178" s="5910" t="s">
        <v>2436</v>
      </c>
      <c r="H178" s="5910" t="s">
        <v>24</v>
      </c>
      <c r="I178" s="5910" t="s">
        <v>813</v>
      </c>
    </row>
    <row customHeight="1" ht="11.25">
      <c r="A179" s="5910" t="s">
        <v>2181</v>
      </c>
      <c r="B179" s="5910" t="s">
        <v>14</v>
      </c>
      <c r="C179" s="5910" t="s">
        <v>2437</v>
      </c>
      <c r="D179" s="5910" t="s">
        <v>45</v>
      </c>
      <c r="E179" s="5910" t="s">
        <v>2438</v>
      </c>
      <c r="F179" s="5910" t="s">
        <v>2289</v>
      </c>
      <c r="G179" s="5910" t="s">
        <v>2408</v>
      </c>
      <c r="H179" s="5910" t="s">
        <v>24</v>
      </c>
      <c r="I179" s="5910" t="s">
        <v>813</v>
      </c>
    </row>
    <row customHeight="1" ht="11.25">
      <c r="A180" s="5910" t="s">
        <v>2181</v>
      </c>
      <c r="B180" s="5910" t="s">
        <v>14</v>
      </c>
      <c r="C180" s="5910" t="s">
        <v>2439</v>
      </c>
      <c r="D180" s="5910" t="s">
        <v>45</v>
      </c>
      <c r="E180" s="5910" t="s">
        <v>48</v>
      </c>
      <c r="F180" s="5910" t="s">
        <v>50</v>
      </c>
      <c r="G180" s="5910" t="s">
        <v>2440</v>
      </c>
      <c r="H180" s="5910" t="s">
        <v>24</v>
      </c>
      <c r="I180" s="5910" t="s">
        <v>813</v>
      </c>
    </row>
    <row customHeight="1" ht="11.25">
      <c r="A181" s="5910" t="s">
        <v>2181</v>
      </c>
      <c r="B181" s="5910" t="s">
        <v>14</v>
      </c>
      <c r="C181" s="5910" t="s">
        <v>2441</v>
      </c>
      <c r="D181" s="5910" t="s">
        <v>45</v>
      </c>
      <c r="E181" s="5910" t="s">
        <v>2442</v>
      </c>
      <c r="F181" s="5910" t="s">
        <v>2231</v>
      </c>
      <c r="G181" s="5910" t="s">
        <v>24</v>
      </c>
      <c r="H181" s="5910" t="s">
        <v>24</v>
      </c>
      <c r="I181" s="5910" t="s">
        <v>813</v>
      </c>
    </row>
    <row customHeight="1" ht="11.25">
      <c r="A182" s="5910" t="s">
        <v>2181</v>
      </c>
      <c r="B182" s="5910" t="s">
        <v>14</v>
      </c>
      <c r="C182" s="5910" t="s">
        <v>2443</v>
      </c>
      <c r="D182" s="5910" t="s">
        <v>2444</v>
      </c>
      <c r="E182" s="5910" t="s">
        <v>2445</v>
      </c>
      <c r="F182" s="5910" t="s">
        <v>2245</v>
      </c>
      <c r="G182" s="5910" t="s">
        <v>24</v>
      </c>
      <c r="H182" s="5910" t="s">
        <v>24</v>
      </c>
      <c r="I182" s="5910" t="s">
        <v>813</v>
      </c>
    </row>
    <row customHeight="1" ht="11.25">
      <c r="A183" s="5910" t="s">
        <v>2181</v>
      </c>
      <c r="B183" s="5910" t="s">
        <v>14</v>
      </c>
      <c r="C183" s="5910" t="s">
        <v>2446</v>
      </c>
      <c r="D183" s="5910" t="s">
        <v>2447</v>
      </c>
      <c r="E183" s="5910" t="s">
        <v>2448</v>
      </c>
      <c r="F183" s="5910" t="s">
        <v>2293</v>
      </c>
      <c r="G183" s="5910" t="s">
        <v>24</v>
      </c>
      <c r="H183" s="5910" t="s">
        <v>24</v>
      </c>
      <c r="I183" s="5910" t="s">
        <v>813</v>
      </c>
    </row>
    <row customHeight="1" ht="11.25">
      <c r="A184" s="5910" t="s">
        <v>2181</v>
      </c>
      <c r="B184" s="5910" t="s">
        <v>14</v>
      </c>
      <c r="C184" s="5910" t="s">
        <v>2449</v>
      </c>
      <c r="D184" s="5910" t="s">
        <v>2450</v>
      </c>
      <c r="E184" s="5910" t="s">
        <v>2451</v>
      </c>
      <c r="F184" s="5910" t="s">
        <v>2428</v>
      </c>
      <c r="G184" s="5910" t="s">
        <v>2452</v>
      </c>
      <c r="H184" s="5910" t="s">
        <v>24</v>
      </c>
      <c r="I184" s="5910" t="s">
        <v>813</v>
      </c>
    </row>
    <row customHeight="1" ht="11.25">
      <c r="A185" s="5910" t="s">
        <v>2181</v>
      </c>
      <c r="B185" s="5910" t="s">
        <v>14</v>
      </c>
      <c r="C185" s="5910" t="s">
        <v>2228</v>
      </c>
      <c r="D185" s="5910" t="s">
        <v>2229</v>
      </c>
      <c r="E185" s="5910" t="s">
        <v>2230</v>
      </c>
      <c r="F185" s="5910" t="s">
        <v>2231</v>
      </c>
      <c r="G185" s="5910" t="s">
        <v>2232</v>
      </c>
      <c r="H185" s="5910" t="s">
        <v>24</v>
      </c>
      <c r="I185" s="5910" t="s">
        <v>813</v>
      </c>
    </row>
    <row customHeight="1" ht="11.25">
      <c r="A186" s="5910" t="s">
        <v>2181</v>
      </c>
      <c r="B186" s="5910" t="s">
        <v>14</v>
      </c>
      <c r="C186" s="5910" t="s">
        <v>2453</v>
      </c>
      <c r="D186" s="5910" t="s">
        <v>2454</v>
      </c>
      <c r="E186" s="5910" t="s">
        <v>2455</v>
      </c>
      <c r="F186" s="5910" t="s">
        <v>2213</v>
      </c>
      <c r="G186" s="5910" t="s">
        <v>2456</v>
      </c>
      <c r="H186" s="5910" t="s">
        <v>24</v>
      </c>
      <c r="I186" s="5910" t="s">
        <v>813</v>
      </c>
    </row>
    <row customHeight="1" ht="11.25">
      <c r="A187" s="5910" t="s">
        <v>2181</v>
      </c>
      <c r="B187" s="5910" t="s">
        <v>14</v>
      </c>
      <c r="C187" s="5910" t="s">
        <v>2457</v>
      </c>
      <c r="D187" s="5910" t="s">
        <v>2458</v>
      </c>
      <c r="E187" s="5910" t="s">
        <v>2459</v>
      </c>
      <c r="F187" s="5910" t="s">
        <v>2315</v>
      </c>
      <c r="G187" s="5910" t="s">
        <v>2460</v>
      </c>
      <c r="H187" s="5910" t="s">
        <v>24</v>
      </c>
      <c r="I187" s="5910" t="s">
        <v>813</v>
      </c>
    </row>
    <row customHeight="1" ht="11.25">
      <c r="A188" s="5910" t="s">
        <v>2181</v>
      </c>
      <c r="B188" s="5910" t="s">
        <v>14</v>
      </c>
      <c r="C188" s="5910" t="s">
        <v>2461</v>
      </c>
      <c r="D188" s="5910" t="s">
        <v>2462</v>
      </c>
      <c r="E188" s="5910" t="s">
        <v>2463</v>
      </c>
      <c r="F188" s="5910" t="s">
        <v>2464</v>
      </c>
      <c r="G188" s="5910" t="s">
        <v>2465</v>
      </c>
      <c r="H188" s="5910" t="s">
        <v>24</v>
      </c>
      <c r="I188" s="5910" t="s">
        <v>813</v>
      </c>
    </row>
    <row customHeight="1" ht="11.25">
      <c r="A189" s="5910" t="s">
        <v>2181</v>
      </c>
      <c r="B189" s="5910" t="s">
        <v>14</v>
      </c>
      <c r="C189" s="5910" t="s">
        <v>2466</v>
      </c>
      <c r="D189" s="5910" t="s">
        <v>2467</v>
      </c>
      <c r="E189" s="5910" t="s">
        <v>2468</v>
      </c>
      <c r="F189" s="5910" t="s">
        <v>2423</v>
      </c>
      <c r="G189" s="5910" t="s">
        <v>2469</v>
      </c>
      <c r="H189" s="5910" t="s">
        <v>24</v>
      </c>
      <c r="I189" s="5910" t="s">
        <v>813</v>
      </c>
    </row>
    <row customHeight="1" ht="11.25">
      <c r="A190" s="5910" t="s">
        <v>2181</v>
      </c>
      <c r="B190" s="5910" t="s">
        <v>14</v>
      </c>
      <c r="C190" s="5910" t="s">
        <v>2242</v>
      </c>
      <c r="D190" s="5910" t="s">
        <v>2243</v>
      </c>
      <c r="E190" s="5910" t="s">
        <v>2244</v>
      </c>
      <c r="F190" s="5910" t="s">
        <v>2245</v>
      </c>
      <c r="G190" s="5910" t="s">
        <v>24</v>
      </c>
      <c r="H190" s="5910" t="s">
        <v>24</v>
      </c>
      <c r="I190" s="5910" t="s">
        <v>813</v>
      </c>
    </row>
    <row customHeight="1" ht="11.25">
      <c r="A191" s="5910" t="s">
        <v>2181</v>
      </c>
      <c r="B191" s="5910" t="s">
        <v>14</v>
      </c>
      <c r="C191" s="5910" t="s">
        <v>2246</v>
      </c>
      <c r="D191" s="5910" t="s">
        <v>2247</v>
      </c>
      <c r="E191" s="5910" t="s">
        <v>2248</v>
      </c>
      <c r="F191" s="5910" t="s">
        <v>2249</v>
      </c>
      <c r="G191" s="5910" t="s">
        <v>2250</v>
      </c>
      <c r="H191" s="5910" t="s">
        <v>24</v>
      </c>
      <c r="I191" s="5910" t="s">
        <v>813</v>
      </c>
    </row>
    <row customHeight="1" ht="11.25">
      <c r="A192" s="5910" t="s">
        <v>2181</v>
      </c>
      <c r="B192" s="5910" t="s">
        <v>14</v>
      </c>
      <c r="C192" s="5910" t="s">
        <v>2470</v>
      </c>
      <c r="D192" s="5910" t="s">
        <v>2471</v>
      </c>
      <c r="E192" s="5910" t="s">
        <v>2472</v>
      </c>
      <c r="F192" s="5910" t="s">
        <v>2265</v>
      </c>
      <c r="G192" s="5910" t="s">
        <v>2473</v>
      </c>
      <c r="H192" s="5910" t="s">
        <v>24</v>
      </c>
      <c r="I192" s="5910" t="s">
        <v>813</v>
      </c>
    </row>
    <row customHeight="1" ht="11.25">
      <c r="A193" s="5910" t="s">
        <v>2181</v>
      </c>
      <c r="B193" s="5910" t="s">
        <v>14</v>
      </c>
      <c r="C193" s="5910" t="s">
        <v>2474</v>
      </c>
      <c r="D193" s="5910" t="s">
        <v>2475</v>
      </c>
      <c r="E193" s="5910" t="s">
        <v>2476</v>
      </c>
      <c r="F193" s="5910" t="s">
        <v>2202</v>
      </c>
      <c r="G193" s="5910" t="s">
        <v>2477</v>
      </c>
      <c r="H193" s="5910" t="s">
        <v>24</v>
      </c>
      <c r="I193" s="5910" t="s">
        <v>813</v>
      </c>
    </row>
    <row customHeight="1" ht="11.25">
      <c r="A194" s="5910" t="s">
        <v>2181</v>
      </c>
      <c r="B194" s="5910" t="s">
        <v>14</v>
      </c>
      <c r="C194" s="5910" t="s">
        <v>2482</v>
      </c>
      <c r="D194" s="5910" t="s">
        <v>2483</v>
      </c>
      <c r="E194" s="5910" t="s">
        <v>2484</v>
      </c>
      <c r="F194" s="5910" t="s">
        <v>2404</v>
      </c>
      <c r="G194" s="5910" t="s">
        <v>24</v>
      </c>
      <c r="H194" s="5910" t="s">
        <v>24</v>
      </c>
      <c r="I194" s="5910" t="s">
        <v>813</v>
      </c>
    </row>
    <row customHeight="1" ht="11.25">
      <c r="A195" s="5910" t="s">
        <v>2181</v>
      </c>
      <c r="B195" s="5910" t="s">
        <v>14</v>
      </c>
      <c r="C195" s="5910" t="s">
        <v>2485</v>
      </c>
      <c r="D195" s="5910" t="s">
        <v>2486</v>
      </c>
      <c r="E195" s="5910" t="s">
        <v>2487</v>
      </c>
      <c r="F195" s="5910" t="s">
        <v>50</v>
      </c>
      <c r="G195" s="5910" t="s">
        <v>24</v>
      </c>
      <c r="H195" s="5910" t="s">
        <v>24</v>
      </c>
      <c r="I195" s="5910" t="s">
        <v>813</v>
      </c>
    </row>
    <row customHeight="1" ht="11.25">
      <c r="A196" s="5910" t="s">
        <v>2181</v>
      </c>
      <c r="B196" s="5910" t="s">
        <v>14</v>
      </c>
      <c r="C196" s="5910" t="s">
        <v>2488</v>
      </c>
      <c r="D196" s="5910" t="s">
        <v>2489</v>
      </c>
      <c r="E196" s="5910" t="s">
        <v>2490</v>
      </c>
      <c r="F196" s="5910" t="s">
        <v>2428</v>
      </c>
      <c r="G196" s="5910" t="s">
        <v>2491</v>
      </c>
      <c r="H196" s="5910" t="s">
        <v>24</v>
      </c>
      <c r="I196" s="5910" t="s">
        <v>813</v>
      </c>
    </row>
    <row customHeight="1" ht="11.25">
      <c r="A197" s="5910" t="s">
        <v>2181</v>
      </c>
      <c r="B197" s="5910" t="s">
        <v>14</v>
      </c>
      <c r="C197" s="5910" t="s">
        <v>2500</v>
      </c>
      <c r="D197" s="5910" t="s">
        <v>2501</v>
      </c>
      <c r="E197" s="5910" t="s">
        <v>2502</v>
      </c>
      <c r="F197" s="5910" t="s">
        <v>2464</v>
      </c>
      <c r="G197" s="5910" t="s">
        <v>24</v>
      </c>
      <c r="H197" s="5910" t="s">
        <v>24</v>
      </c>
      <c r="I197" s="5910" t="s">
        <v>813</v>
      </c>
    </row>
    <row customHeight="1" ht="11.25">
      <c r="A198" s="5910" t="s">
        <v>2181</v>
      </c>
      <c r="B198" s="5910" t="s">
        <v>14</v>
      </c>
      <c r="C198" s="5910" t="s">
        <v>2503</v>
      </c>
      <c r="D198" s="5910" t="s">
        <v>2504</v>
      </c>
      <c r="E198" s="5910" t="s">
        <v>2505</v>
      </c>
      <c r="F198" s="5910" t="s">
        <v>2277</v>
      </c>
      <c r="G198" s="5910" t="s">
        <v>2506</v>
      </c>
      <c r="H198" s="5910" t="s">
        <v>24</v>
      </c>
      <c r="I198" s="5910" t="s">
        <v>813</v>
      </c>
    </row>
    <row customHeight="1" ht="11.25">
      <c r="A199" s="5910" t="s">
        <v>2181</v>
      </c>
      <c r="B199" s="5910" t="s">
        <v>14</v>
      </c>
      <c r="C199" s="5910" t="s">
        <v>2507</v>
      </c>
      <c r="D199" s="5910" t="s">
        <v>2508</v>
      </c>
      <c r="E199" s="5910" t="s">
        <v>2509</v>
      </c>
      <c r="F199" s="5910" t="s">
        <v>2245</v>
      </c>
      <c r="G199" s="5910" t="s">
        <v>24</v>
      </c>
      <c r="H199" s="5910" t="s">
        <v>24</v>
      </c>
      <c r="I199" s="5910" t="s">
        <v>813</v>
      </c>
    </row>
    <row customHeight="1" ht="11.25">
      <c r="A200" s="5910" t="s">
        <v>2181</v>
      </c>
      <c r="B200" s="5910" t="s">
        <v>14</v>
      </c>
      <c r="C200" s="5910" t="s">
        <v>2510</v>
      </c>
      <c r="D200" s="5910" t="s">
        <v>2511</v>
      </c>
      <c r="E200" s="5910" t="s">
        <v>2512</v>
      </c>
      <c r="F200" s="5910" t="s">
        <v>2404</v>
      </c>
      <c r="G200" s="5910" t="s">
        <v>2513</v>
      </c>
      <c r="H200" s="5910" t="s">
        <v>2514</v>
      </c>
      <c r="I200" s="5910" t="s">
        <v>813</v>
      </c>
    </row>
    <row customHeight="1" ht="11.25">
      <c r="A201" s="5910" t="s">
        <v>2181</v>
      </c>
      <c r="B201" s="5910" t="s">
        <v>14</v>
      </c>
      <c r="C201" s="5910" t="s">
        <v>2624</v>
      </c>
      <c r="D201" s="5910" t="s">
        <v>2625</v>
      </c>
      <c r="E201" s="5910" t="s">
        <v>2626</v>
      </c>
      <c r="F201" s="5910" t="s">
        <v>2218</v>
      </c>
      <c r="G201" s="5910" t="s">
        <v>2281</v>
      </c>
      <c r="H201" s="5910" t="s">
        <v>24</v>
      </c>
      <c r="I201" s="5910" t="s">
        <v>813</v>
      </c>
    </row>
    <row customHeight="1" ht="11.25">
      <c r="A202" s="5910" t="s">
        <v>2181</v>
      </c>
      <c r="B202" s="5910" t="s">
        <v>14</v>
      </c>
      <c r="C202" s="5910" t="s">
        <v>2518</v>
      </c>
      <c r="D202" s="5910" t="s">
        <v>2519</v>
      </c>
      <c r="E202" s="5910" t="s">
        <v>2520</v>
      </c>
      <c r="F202" s="5910" t="s">
        <v>2202</v>
      </c>
      <c r="G202" s="5910" t="s">
        <v>2521</v>
      </c>
      <c r="H202" s="5910" t="s">
        <v>24</v>
      </c>
      <c r="I202" s="5910" t="s">
        <v>813</v>
      </c>
    </row>
    <row customHeight="1" ht="11.25">
      <c r="A203" s="5910" t="s">
        <v>2181</v>
      </c>
      <c r="B203" s="5910" t="s">
        <v>14</v>
      </c>
      <c r="C203" s="5910" t="s">
        <v>2522</v>
      </c>
      <c r="D203" s="5910" t="s">
        <v>2523</v>
      </c>
      <c r="E203" s="5910" t="s">
        <v>2524</v>
      </c>
      <c r="F203" s="5910" t="s">
        <v>2428</v>
      </c>
      <c r="G203" s="5910" t="s">
        <v>2525</v>
      </c>
      <c r="H203" s="5910" t="s">
        <v>24</v>
      </c>
      <c r="I203" s="5910" t="s">
        <v>813</v>
      </c>
    </row>
    <row customHeight="1" ht="11.25">
      <c r="A204" s="5910" t="s">
        <v>2181</v>
      </c>
      <c r="B204" s="5910" t="s">
        <v>14</v>
      </c>
      <c r="C204" s="5910" t="s">
        <v>2526</v>
      </c>
      <c r="D204" s="5910" t="s">
        <v>2527</v>
      </c>
      <c r="E204" s="5910" t="s">
        <v>2528</v>
      </c>
      <c r="F204" s="5910" t="s">
        <v>2428</v>
      </c>
      <c r="G204" s="5910" t="s">
        <v>2529</v>
      </c>
      <c r="H204" s="5910" t="s">
        <v>24</v>
      </c>
      <c r="I204" s="5910" t="s">
        <v>813</v>
      </c>
    </row>
    <row customHeight="1" ht="11.25">
      <c r="A205" s="5910" t="s">
        <v>2181</v>
      </c>
      <c r="B205" s="5910" t="s">
        <v>14</v>
      </c>
      <c r="C205" s="5910" t="s">
        <v>2530</v>
      </c>
      <c r="D205" s="5910" t="s">
        <v>2531</v>
      </c>
      <c r="E205" s="5910" t="s">
        <v>2532</v>
      </c>
      <c r="F205" s="5910" t="s">
        <v>2464</v>
      </c>
      <c r="G205" s="5910" t="s">
        <v>24</v>
      </c>
      <c r="H205" s="5910" t="s">
        <v>24</v>
      </c>
      <c r="I205" s="5910" t="s">
        <v>813</v>
      </c>
    </row>
    <row customHeight="1" ht="11.25">
      <c r="A206" s="5910" t="s">
        <v>2181</v>
      </c>
      <c r="B206" s="5910" t="s">
        <v>14</v>
      </c>
      <c r="C206" s="5910" t="s">
        <v>2541</v>
      </c>
      <c r="D206" s="5910" t="s">
        <v>2542</v>
      </c>
      <c r="E206" s="5910" t="s">
        <v>2543</v>
      </c>
      <c r="F206" s="5910" t="s">
        <v>2544</v>
      </c>
      <c r="G206" s="5910" t="s">
        <v>24</v>
      </c>
      <c r="H206" s="5910" t="s">
        <v>24</v>
      </c>
      <c r="I206" s="5910" t="s">
        <v>813</v>
      </c>
    </row>
    <row customHeight="1" ht="11.25">
      <c r="A207" s="5910" t="s">
        <v>2181</v>
      </c>
      <c r="B207" s="5910" t="s">
        <v>14</v>
      </c>
      <c r="C207" s="5910" t="s">
        <v>2545</v>
      </c>
      <c r="D207" s="5910" t="s">
        <v>2546</v>
      </c>
      <c r="E207" s="5910" t="s">
        <v>2547</v>
      </c>
      <c r="F207" s="5910" t="s">
        <v>2548</v>
      </c>
      <c r="G207" s="5910" t="s">
        <v>2549</v>
      </c>
      <c r="H207" s="5910" t="s">
        <v>24</v>
      </c>
      <c r="I207" s="5910" t="s">
        <v>813</v>
      </c>
    </row>
    <row customHeight="1" ht="11.25">
      <c r="A208" s="5910" t="s">
        <v>2181</v>
      </c>
      <c r="B208" s="5910" t="s">
        <v>14</v>
      </c>
      <c r="C208" s="5910" t="s">
        <v>2550</v>
      </c>
      <c r="D208" s="5910" t="s">
        <v>2551</v>
      </c>
      <c r="E208" s="5910" t="s">
        <v>2552</v>
      </c>
      <c r="F208" s="5910" t="s">
        <v>2404</v>
      </c>
      <c r="G208" s="5910" t="s">
        <v>24</v>
      </c>
      <c r="H208" s="5910" t="s">
        <v>24</v>
      </c>
      <c r="I208" s="5910" t="s">
        <v>813</v>
      </c>
    </row>
    <row customHeight="1" ht="11.25">
      <c r="A209" s="5910" t="s">
        <v>2181</v>
      </c>
      <c r="B209" s="5910" t="s">
        <v>14</v>
      </c>
      <c r="C209" s="5910" t="s">
        <v>2306</v>
      </c>
      <c r="D209" s="5910" t="s">
        <v>2307</v>
      </c>
      <c r="E209" s="5910" t="s">
        <v>2308</v>
      </c>
      <c r="F209" s="5910" t="s">
        <v>2202</v>
      </c>
      <c r="G209" s="5910" t="s">
        <v>24</v>
      </c>
      <c r="H209" s="5910" t="s">
        <v>24</v>
      </c>
      <c r="I209" s="5910" t="s">
        <v>813</v>
      </c>
    </row>
    <row customHeight="1" ht="11.25">
      <c r="A210" s="5910" t="s">
        <v>2181</v>
      </c>
      <c r="B210" s="5910" t="s">
        <v>14</v>
      </c>
      <c r="C210" s="5910" t="s">
        <v>2309</v>
      </c>
      <c r="D210" s="5910" t="s">
        <v>2310</v>
      </c>
      <c r="E210" s="5910" t="s">
        <v>2311</v>
      </c>
      <c r="F210" s="5910" t="s">
        <v>2202</v>
      </c>
      <c r="G210" s="5910" t="s">
        <v>24</v>
      </c>
      <c r="H210" s="5910" t="s">
        <v>24</v>
      </c>
      <c r="I210" s="5910" t="s">
        <v>813</v>
      </c>
    </row>
    <row customHeight="1" ht="11.25">
      <c r="A211" s="5910" t="s">
        <v>2181</v>
      </c>
      <c r="B211" s="5910" t="s">
        <v>14</v>
      </c>
      <c r="C211" s="5910" t="s">
        <v>2627</v>
      </c>
      <c r="D211" s="5910" t="s">
        <v>2628</v>
      </c>
      <c r="E211" s="5910" t="s">
        <v>2629</v>
      </c>
      <c r="F211" s="5910" t="s">
        <v>2404</v>
      </c>
      <c r="G211" s="5910" t="s">
        <v>2630</v>
      </c>
      <c r="H211" s="5910" t="s">
        <v>24</v>
      </c>
      <c r="I211" s="5910" t="s">
        <v>813</v>
      </c>
    </row>
    <row customHeight="1" ht="11.25">
      <c r="A212" s="5910" t="s">
        <v>2181</v>
      </c>
      <c r="B212" s="5910" t="s">
        <v>14</v>
      </c>
      <c r="C212" s="5910" t="s">
        <v>2631</v>
      </c>
      <c r="D212" s="5910" t="s">
        <v>2632</v>
      </c>
      <c r="E212" s="5910" t="s">
        <v>2633</v>
      </c>
      <c r="F212" s="5910" t="s">
        <v>2331</v>
      </c>
      <c r="G212" s="5910" t="s">
        <v>24</v>
      </c>
      <c r="H212" s="5910" t="s">
        <v>24</v>
      </c>
      <c r="I212" s="5910" t="s">
        <v>813</v>
      </c>
    </row>
    <row customHeight="1" ht="11.25">
      <c r="A213" s="5910" t="s">
        <v>2181</v>
      </c>
      <c r="B213" s="5910" t="s">
        <v>14</v>
      </c>
      <c r="C213" s="5910" t="s">
        <v>2573</v>
      </c>
      <c r="D213" s="5910" t="s">
        <v>2574</v>
      </c>
      <c r="E213" s="5910" t="s">
        <v>2575</v>
      </c>
      <c r="F213" s="5910" t="s">
        <v>2249</v>
      </c>
      <c r="G213" s="5910" t="s">
        <v>24</v>
      </c>
      <c r="H213" s="5910" t="s">
        <v>2576</v>
      </c>
      <c r="I213" s="5910" t="s">
        <v>813</v>
      </c>
    </row>
    <row customHeight="1" ht="11.25">
      <c r="A214" s="5910" t="s">
        <v>2181</v>
      </c>
      <c r="B214" s="5910" t="s">
        <v>14</v>
      </c>
      <c r="C214" s="5910" t="s">
        <v>2580</v>
      </c>
      <c r="D214" s="5910" t="s">
        <v>2581</v>
      </c>
      <c r="E214" s="5910" t="s">
        <v>2582</v>
      </c>
      <c r="F214" s="5910" t="s">
        <v>2404</v>
      </c>
      <c r="G214" s="5910" t="s">
        <v>24</v>
      </c>
      <c r="H214" s="5910" t="s">
        <v>24</v>
      </c>
      <c r="I214" s="5910" t="s">
        <v>813</v>
      </c>
    </row>
    <row customHeight="1" ht="11.25">
      <c r="A215" s="5910" t="s">
        <v>2181</v>
      </c>
      <c r="B215" s="5910" t="s">
        <v>14</v>
      </c>
      <c r="C215" s="5910" t="s">
        <v>2332</v>
      </c>
      <c r="D215" s="5910" t="s">
        <v>2333</v>
      </c>
      <c r="E215" s="5910" t="s">
        <v>2334</v>
      </c>
      <c r="F215" s="5910" t="s">
        <v>2202</v>
      </c>
      <c r="G215" s="5910" t="s">
        <v>24</v>
      </c>
      <c r="H215" s="5910" t="s">
        <v>24</v>
      </c>
      <c r="I215" s="5910" t="s">
        <v>813</v>
      </c>
    </row>
    <row customHeight="1" ht="11.25">
      <c r="A216" s="5910" t="s">
        <v>2181</v>
      </c>
      <c r="B216" s="5910" t="s">
        <v>14</v>
      </c>
      <c r="C216" s="5910" t="s">
        <v>2587</v>
      </c>
      <c r="D216" s="5910" t="s">
        <v>2588</v>
      </c>
      <c r="E216" s="5910" t="s">
        <v>2589</v>
      </c>
      <c r="F216" s="5910" t="s">
        <v>2202</v>
      </c>
      <c r="G216" s="5910" t="s">
        <v>24</v>
      </c>
      <c r="H216" s="5910" t="s">
        <v>24</v>
      </c>
      <c r="I216" s="5910" t="s">
        <v>813</v>
      </c>
    </row>
    <row customHeight="1" ht="11.25">
      <c r="A217" s="5910" t="s">
        <v>2181</v>
      </c>
      <c r="B217" s="5910" t="s">
        <v>14</v>
      </c>
      <c r="C217" s="5910" t="s">
        <v>2348</v>
      </c>
      <c r="D217" s="5910" t="s">
        <v>2349</v>
      </c>
      <c r="E217" s="5910" t="s">
        <v>2350</v>
      </c>
      <c r="F217" s="5910" t="s">
        <v>2351</v>
      </c>
      <c r="G217" s="5910" t="s">
        <v>24</v>
      </c>
      <c r="H217" s="5910" t="s">
        <v>24</v>
      </c>
      <c r="I217" s="5910" t="s">
        <v>813</v>
      </c>
    </row>
    <row customHeight="1" ht="11.25">
      <c r="A218" s="5910" t="s">
        <v>2181</v>
      </c>
      <c r="B218" s="5910" t="s">
        <v>14</v>
      </c>
      <c r="C218" s="5910" t="s">
        <v>2598</v>
      </c>
      <c r="D218" s="5910" t="s">
        <v>2599</v>
      </c>
      <c r="E218" s="5910" t="s">
        <v>2600</v>
      </c>
      <c r="F218" s="5910" t="s">
        <v>50</v>
      </c>
      <c r="G218" s="5910" t="s">
        <v>2601</v>
      </c>
      <c r="H218" s="5910" t="s">
        <v>24</v>
      </c>
      <c r="I218" s="5910" t="s">
        <v>813</v>
      </c>
    </row>
    <row customHeight="1" ht="11.25">
      <c r="A219" s="5910" t="s">
        <v>2181</v>
      </c>
      <c r="B219" s="5910" t="s">
        <v>14</v>
      </c>
      <c r="C219" s="5910" t="s">
        <v>2602</v>
      </c>
      <c r="D219" s="5910" t="s">
        <v>2603</v>
      </c>
      <c r="E219" s="5910" t="s">
        <v>2604</v>
      </c>
      <c r="F219" s="5910" t="s">
        <v>2464</v>
      </c>
      <c r="G219" s="5910" t="s">
        <v>24</v>
      </c>
      <c r="H219" s="5910" t="s">
        <v>24</v>
      </c>
      <c r="I219" s="5910" t="s">
        <v>813</v>
      </c>
    </row>
    <row customHeight="1" ht="11.25">
      <c r="A220" s="5910" t="s">
        <v>2181</v>
      </c>
      <c r="B220" s="5910" t="s">
        <v>14</v>
      </c>
      <c r="C220" s="5910" t="s">
        <v>2609</v>
      </c>
      <c r="D220" s="5910" t="s">
        <v>2610</v>
      </c>
      <c r="E220" s="5910" t="s">
        <v>2611</v>
      </c>
      <c r="F220" s="5910" t="s">
        <v>2464</v>
      </c>
      <c r="G220" s="5910" t="s">
        <v>2612</v>
      </c>
      <c r="H220" s="5910" t="s">
        <v>2549</v>
      </c>
      <c r="I220" s="5910" t="s">
        <v>813</v>
      </c>
    </row>
    <row customHeight="1" ht="11.25">
      <c r="A221" s="5910" t="s">
        <v>2181</v>
      </c>
      <c r="B221" s="5910" t="s">
        <v>14</v>
      </c>
      <c r="C221" s="5910" t="s">
        <v>2359</v>
      </c>
      <c r="D221" s="5910" t="s">
        <v>2360</v>
      </c>
      <c r="E221" s="5910" t="s">
        <v>2361</v>
      </c>
      <c r="F221" s="5910" t="s">
        <v>2213</v>
      </c>
      <c r="G221" s="5910" t="s">
        <v>2362</v>
      </c>
      <c r="H221" s="5910" t="s">
        <v>24</v>
      </c>
      <c r="I221" s="5910" t="s">
        <v>813</v>
      </c>
    </row>
    <row customHeight="1" ht="11.25">
      <c r="A222" s="5910" t="s">
        <v>2181</v>
      </c>
      <c r="B222" s="5910" t="s">
        <v>14</v>
      </c>
      <c r="C222" s="5910" t="s">
        <v>2366</v>
      </c>
      <c r="D222" s="5910" t="s">
        <v>2367</v>
      </c>
      <c r="E222" s="5910" t="s">
        <v>2368</v>
      </c>
      <c r="F222" s="5910" t="s">
        <v>2369</v>
      </c>
      <c r="G222" s="5910" t="s">
        <v>24</v>
      </c>
      <c r="H222" s="5910" t="s">
        <v>24</v>
      </c>
      <c r="I222" s="5910" t="s">
        <v>813</v>
      </c>
    </row>
    <row customHeight="1" ht="11.25">
      <c r="A223" s="5910" t="s">
        <v>2181</v>
      </c>
      <c r="B223" s="5910" t="s">
        <v>14</v>
      </c>
      <c r="C223" s="5910" t="s">
        <v>2373</v>
      </c>
      <c r="D223" s="5910" t="s">
        <v>2374</v>
      </c>
      <c r="E223" s="5910" t="s">
        <v>2375</v>
      </c>
      <c r="F223" s="5910" t="s">
        <v>50</v>
      </c>
      <c r="G223" s="5910" t="s">
        <v>2376</v>
      </c>
      <c r="H223" s="5910" t="s">
        <v>24</v>
      </c>
      <c r="I223" s="5910" t="s">
        <v>813</v>
      </c>
    </row>
    <row customHeight="1" ht="11.25">
      <c r="A224" s="5910" t="s">
        <v>2181</v>
      </c>
      <c r="B224" s="5910" t="s">
        <v>14</v>
      </c>
      <c r="C224" s="5910" t="s">
        <v>2377</v>
      </c>
      <c r="D224" s="5910" t="s">
        <v>2378</v>
      </c>
      <c r="E224" s="5910" t="s">
        <v>2379</v>
      </c>
      <c r="F224" s="5910" t="s">
        <v>50</v>
      </c>
      <c r="G224" s="5910" t="s">
        <v>2380</v>
      </c>
      <c r="H224" s="5910" t="s">
        <v>24</v>
      </c>
      <c r="I224" s="5910" t="s">
        <v>813</v>
      </c>
    </row>
    <row customHeight="1" ht="11.25">
      <c r="A225" s="5910" t="s">
        <v>2181</v>
      </c>
      <c r="B225" s="5910" t="s">
        <v>14</v>
      </c>
      <c r="C225" s="5910" t="s">
        <v>2616</v>
      </c>
      <c r="D225" s="5910" t="s">
        <v>2617</v>
      </c>
      <c r="E225" s="5910" t="s">
        <v>2618</v>
      </c>
      <c r="F225" s="5910" t="s">
        <v>2202</v>
      </c>
      <c r="G225" s="5910" t="s">
        <v>2619</v>
      </c>
      <c r="H225" s="5910" t="s">
        <v>24</v>
      </c>
      <c r="I225" s="5910" t="s">
        <v>813</v>
      </c>
    </row>
    <row customHeight="1" ht="11.25">
      <c r="A226" s="5910" t="s">
        <v>2181</v>
      </c>
      <c r="B226" s="5910" t="s">
        <v>14</v>
      </c>
      <c r="C226" s="5910" t="s">
        <v>2389</v>
      </c>
      <c r="D226" s="5910" t="s">
        <v>2390</v>
      </c>
      <c r="E226" s="5910" t="s">
        <v>2391</v>
      </c>
      <c r="F226" s="5910" t="s">
        <v>2392</v>
      </c>
      <c r="G226" s="5910" t="s">
        <v>2393</v>
      </c>
      <c r="H226" s="5910" t="s">
        <v>24</v>
      </c>
      <c r="I226" s="5910" t="s">
        <v>813</v>
      </c>
    </row>
    <row customHeight="1" ht="11.25">
      <c r="A227" s="5910" t="s">
        <v>2181</v>
      </c>
      <c r="B227" s="5910" t="s">
        <v>14</v>
      </c>
      <c r="C227" s="5910" t="s">
        <v>2620</v>
      </c>
      <c r="D227" s="5910" t="s">
        <v>2621</v>
      </c>
      <c r="E227" s="5910" t="s">
        <v>2391</v>
      </c>
      <c r="F227" s="5910" t="s">
        <v>2622</v>
      </c>
      <c r="G227" s="5910" t="s">
        <v>2623</v>
      </c>
      <c r="H227" s="5910" t="s">
        <v>24</v>
      </c>
      <c r="I227" s="5910" t="s">
        <v>813</v>
      </c>
    </row>
    <row customHeight="1" ht="11.25">
      <c r="A228" s="5910" t="s">
        <v>2181</v>
      </c>
      <c r="B228" s="5910" t="s">
        <v>14</v>
      </c>
      <c r="C228" s="5910" t="s">
        <v>2634</v>
      </c>
      <c r="D228" s="5910" t="s">
        <v>2635</v>
      </c>
      <c r="E228" s="5910" t="s">
        <v>2636</v>
      </c>
      <c r="F228" s="5910" t="s">
        <v>568</v>
      </c>
      <c r="G228" s="5910" t="s">
        <v>24</v>
      </c>
      <c r="H228" s="5910" t="s">
        <v>24</v>
      </c>
      <c r="I228" s="5910" t="s">
        <v>1622</v>
      </c>
    </row>
    <row customHeight="1" ht="11.25">
      <c r="A229" s="5910" t="s">
        <v>2181</v>
      </c>
      <c r="B229" s="5910" t="s">
        <v>14</v>
      </c>
      <c r="C229" s="5910" t="s">
        <v>2637</v>
      </c>
      <c r="D229" s="5910" t="s">
        <v>2638</v>
      </c>
      <c r="E229" s="5910" t="s">
        <v>2639</v>
      </c>
      <c r="F229" s="5910" t="s">
        <v>568</v>
      </c>
      <c r="G229" s="5910" t="s">
        <v>24</v>
      </c>
      <c r="H229" s="5910" t="s">
        <v>24</v>
      </c>
      <c r="I229" s="5910" t="s">
        <v>1622</v>
      </c>
    </row>
    <row customHeight="1" ht="11.25">
      <c r="A230" s="5910" t="s">
        <v>2181</v>
      </c>
      <c r="B230" s="5910" t="s">
        <v>14</v>
      </c>
      <c r="C230" s="5910" t="s">
        <v>2640</v>
      </c>
      <c r="D230" s="5910" t="s">
        <v>2641</v>
      </c>
      <c r="E230" s="5910" t="s">
        <v>2642</v>
      </c>
      <c r="F230" s="5910" t="s">
        <v>568</v>
      </c>
      <c r="G230" s="5910" t="s">
        <v>2643</v>
      </c>
      <c r="H230" s="5910" t="s">
        <v>24</v>
      </c>
      <c r="I230" s="5910" t="s">
        <v>1622</v>
      </c>
    </row>
    <row customHeight="1" ht="11.25">
      <c r="A231" s="5910" t="s">
        <v>2181</v>
      </c>
      <c r="B231" s="5910" t="s">
        <v>14</v>
      </c>
      <c r="C231" s="5910" t="s">
        <v>24</v>
      </c>
      <c r="D231" s="5910" t="s">
        <v>2208</v>
      </c>
      <c r="E231" s="5910" t="s">
        <v>2209</v>
      </c>
      <c r="F231" s="5910" t="s">
        <v>50</v>
      </c>
      <c r="G231" s="5910" t="s">
        <v>24</v>
      </c>
      <c r="H231" s="5910" t="s">
        <v>24</v>
      </c>
      <c r="I231" s="5910" t="s">
        <v>1622</v>
      </c>
    </row>
    <row customHeight="1" ht="11.25">
      <c r="A232" s="5910" t="s">
        <v>2181</v>
      </c>
      <c r="B232" s="5910" t="s">
        <v>14</v>
      </c>
      <c r="C232" s="5910" t="s">
        <v>2210</v>
      </c>
      <c r="D232" s="5910" t="s">
        <v>2211</v>
      </c>
      <c r="E232" s="5910" t="s">
        <v>2212</v>
      </c>
      <c r="F232" s="5910" t="s">
        <v>2213</v>
      </c>
      <c r="G232" s="5910" t="s">
        <v>2214</v>
      </c>
      <c r="H232" s="5910" t="s">
        <v>24</v>
      </c>
      <c r="I232" s="5910" t="s">
        <v>1622</v>
      </c>
    </row>
    <row customHeight="1" ht="11.25">
      <c r="A233" s="5910" t="s">
        <v>2181</v>
      </c>
      <c r="B233" s="5910" t="s">
        <v>14</v>
      </c>
      <c r="C233" s="5910" t="s">
        <v>2644</v>
      </c>
      <c r="D233" s="5910" t="s">
        <v>2645</v>
      </c>
      <c r="E233" s="5910" t="s">
        <v>2646</v>
      </c>
      <c r="F233" s="5910" t="s">
        <v>2315</v>
      </c>
      <c r="G233" s="5910" t="s">
        <v>2460</v>
      </c>
      <c r="H233" s="5910" t="s">
        <v>24</v>
      </c>
      <c r="I233" s="5910" t="s">
        <v>1622</v>
      </c>
    </row>
    <row customHeight="1" ht="11.25">
      <c r="A234" s="5910" t="s">
        <v>2181</v>
      </c>
      <c r="B234" s="5910" t="s">
        <v>14</v>
      </c>
      <c r="C234" s="5910" t="s">
        <v>2237</v>
      </c>
      <c r="D234" s="5910" t="s">
        <v>2238</v>
      </c>
      <c r="E234" s="5910" t="s">
        <v>2239</v>
      </c>
      <c r="F234" s="5910" t="s">
        <v>2240</v>
      </c>
      <c r="G234" s="5910" t="s">
        <v>2241</v>
      </c>
      <c r="H234" s="5910" t="s">
        <v>24</v>
      </c>
      <c r="I234" s="5910" t="s">
        <v>1622</v>
      </c>
    </row>
    <row customHeight="1" ht="11.25">
      <c r="A235" s="5910" t="s">
        <v>2181</v>
      </c>
      <c r="B235" s="5910" t="s">
        <v>14</v>
      </c>
      <c r="C235" s="5910" t="s">
        <v>2242</v>
      </c>
      <c r="D235" s="5910" t="s">
        <v>2243</v>
      </c>
      <c r="E235" s="5910" t="s">
        <v>2244</v>
      </c>
      <c r="F235" s="5910" t="s">
        <v>2245</v>
      </c>
      <c r="G235" s="5910" t="s">
        <v>24</v>
      </c>
      <c r="H235" s="5910" t="s">
        <v>24</v>
      </c>
      <c r="I235" s="5910" t="s">
        <v>1622</v>
      </c>
    </row>
    <row customHeight="1" ht="11.25">
      <c r="A236" s="5910" t="s">
        <v>2181</v>
      </c>
      <c r="B236" s="5910" t="s">
        <v>14</v>
      </c>
      <c r="C236" s="5910" t="s">
        <v>2246</v>
      </c>
      <c r="D236" s="5910" t="s">
        <v>2247</v>
      </c>
      <c r="E236" s="5910" t="s">
        <v>2248</v>
      </c>
      <c r="F236" s="5910" t="s">
        <v>2249</v>
      </c>
      <c r="G236" s="5910" t="s">
        <v>2250</v>
      </c>
      <c r="H236" s="5910" t="s">
        <v>24</v>
      </c>
      <c r="I236" s="5910" t="s">
        <v>1622</v>
      </c>
    </row>
    <row customHeight="1" ht="11.25">
      <c r="A237" s="5910" t="s">
        <v>2181</v>
      </c>
      <c r="B237" s="5910" t="s">
        <v>14</v>
      </c>
      <c r="C237" s="5910" t="s">
        <v>2647</v>
      </c>
      <c r="D237" s="5910" t="s">
        <v>2648</v>
      </c>
      <c r="E237" s="5910" t="s">
        <v>2649</v>
      </c>
      <c r="F237" s="5910" t="s">
        <v>2265</v>
      </c>
      <c r="G237" s="5910" t="s">
        <v>24</v>
      </c>
      <c r="H237" s="5910" t="s">
        <v>24</v>
      </c>
      <c r="I237" s="5910" t="s">
        <v>1622</v>
      </c>
    </row>
    <row customHeight="1" ht="11.25">
      <c r="A238" s="5910" t="s">
        <v>2181</v>
      </c>
      <c r="B238" s="5910" t="s">
        <v>14</v>
      </c>
      <c r="C238" s="5910" t="s">
        <v>2650</v>
      </c>
      <c r="D238" s="5910" t="s">
        <v>2651</v>
      </c>
      <c r="E238" s="5910" t="s">
        <v>2652</v>
      </c>
      <c r="F238" s="5910" t="s">
        <v>50</v>
      </c>
      <c r="G238" s="5910" t="s">
        <v>2653</v>
      </c>
      <c r="H238" s="5910" t="s">
        <v>24</v>
      </c>
      <c r="I238" s="5910" t="s">
        <v>1622</v>
      </c>
    </row>
    <row customHeight="1" ht="11.25">
      <c r="A239" s="5910" t="s">
        <v>2181</v>
      </c>
      <c r="B239" s="5910" t="s">
        <v>14</v>
      </c>
      <c r="C239" s="5910" t="s">
        <v>2286</v>
      </c>
      <c r="D239" s="5910" t="s">
        <v>2287</v>
      </c>
      <c r="E239" s="5910" t="s">
        <v>2288</v>
      </c>
      <c r="F239" s="5910" t="s">
        <v>2289</v>
      </c>
      <c r="G239" s="5910" t="s">
        <v>24</v>
      </c>
      <c r="H239" s="5910" t="s">
        <v>24</v>
      </c>
      <c r="I239" s="5910" t="s">
        <v>1622</v>
      </c>
    </row>
    <row customHeight="1" ht="11.25">
      <c r="A240" s="5910" t="s">
        <v>2181</v>
      </c>
      <c r="B240" s="5910" t="s">
        <v>14</v>
      </c>
      <c r="C240" s="5910" t="s">
        <v>2290</v>
      </c>
      <c r="D240" s="5910" t="s">
        <v>2291</v>
      </c>
      <c r="E240" s="5910" t="s">
        <v>2292</v>
      </c>
      <c r="F240" s="5910" t="s">
        <v>2293</v>
      </c>
      <c r="G240" s="5910" t="s">
        <v>2294</v>
      </c>
      <c r="H240" s="5910" t="s">
        <v>24</v>
      </c>
      <c r="I240" s="5910" t="s">
        <v>1622</v>
      </c>
    </row>
    <row customHeight="1" ht="11.25">
      <c r="A241" s="5910" t="s">
        <v>2181</v>
      </c>
      <c r="B241" s="5910" t="s">
        <v>14</v>
      </c>
      <c r="C241" s="5910" t="s">
        <v>2654</v>
      </c>
      <c r="D241" s="5910" t="s">
        <v>2655</v>
      </c>
      <c r="E241" s="5910" t="s">
        <v>2656</v>
      </c>
      <c r="F241" s="5910" t="s">
        <v>2222</v>
      </c>
      <c r="G241" s="5910" t="s">
        <v>24</v>
      </c>
      <c r="H241" s="5910" t="s">
        <v>24</v>
      </c>
      <c r="I241" s="5910" t="s">
        <v>1622</v>
      </c>
    </row>
    <row customHeight="1" ht="11.25">
      <c r="A242" s="5910" t="s">
        <v>2181</v>
      </c>
      <c r="B242" s="5910" t="s">
        <v>14</v>
      </c>
      <c r="C242" s="5910" t="s">
        <v>2657</v>
      </c>
      <c r="D242" s="5910" t="s">
        <v>2658</v>
      </c>
      <c r="E242" s="5910" t="s">
        <v>2659</v>
      </c>
      <c r="F242" s="5910" t="s">
        <v>2548</v>
      </c>
      <c r="G242" s="5910" t="s">
        <v>2660</v>
      </c>
      <c r="H242" s="5910" t="s">
        <v>24</v>
      </c>
      <c r="I242" s="5910" t="s">
        <v>1622</v>
      </c>
    </row>
    <row customHeight="1" ht="11.25">
      <c r="A243" s="5910" t="s">
        <v>2181</v>
      </c>
      <c r="B243" s="5910" t="s">
        <v>14</v>
      </c>
      <c r="C243" s="5910" t="s">
        <v>2661</v>
      </c>
      <c r="D243" s="5910" t="s">
        <v>2662</v>
      </c>
      <c r="E243" s="5910" t="s">
        <v>2663</v>
      </c>
      <c r="F243" s="5910" t="s">
        <v>2218</v>
      </c>
      <c r="G243" s="5910" t="s">
        <v>2281</v>
      </c>
      <c r="H243" s="5910" t="s">
        <v>24</v>
      </c>
      <c r="I243" s="5910" t="s">
        <v>1622</v>
      </c>
    </row>
    <row customHeight="1" ht="11.25">
      <c r="A244" s="5910" t="s">
        <v>2181</v>
      </c>
      <c r="B244" s="5910" t="s">
        <v>14</v>
      </c>
      <c r="C244" s="5910" t="s">
        <v>2562</v>
      </c>
      <c r="D244" s="5910" t="s">
        <v>2563</v>
      </c>
      <c r="E244" s="5910" t="s">
        <v>2564</v>
      </c>
      <c r="F244" s="5910" t="s">
        <v>2277</v>
      </c>
      <c r="G244" s="5910" t="s">
        <v>2565</v>
      </c>
      <c r="H244" s="5910" t="s">
        <v>24</v>
      </c>
      <c r="I244" s="5910" t="s">
        <v>1622</v>
      </c>
    </row>
    <row customHeight="1" ht="11.25">
      <c r="A245" s="5910" t="s">
        <v>2181</v>
      </c>
      <c r="B245" s="5910" t="s">
        <v>14</v>
      </c>
      <c r="C245" s="5910" t="s">
        <v>2664</v>
      </c>
      <c r="D245" s="5910" t="s">
        <v>2665</v>
      </c>
      <c r="E245" s="5910" t="s">
        <v>2666</v>
      </c>
      <c r="F245" s="5910" t="s">
        <v>50</v>
      </c>
      <c r="G245" s="5910" t="s">
        <v>24</v>
      </c>
      <c r="H245" s="5910" t="s">
        <v>24</v>
      </c>
      <c r="I245" s="5910" t="s">
        <v>1622</v>
      </c>
    </row>
    <row customHeight="1" ht="11.25">
      <c r="A246" s="5910" t="s">
        <v>2181</v>
      </c>
      <c r="B246" s="5910" t="s">
        <v>14</v>
      </c>
      <c r="C246" s="5910" t="s">
        <v>2667</v>
      </c>
      <c r="D246" s="5910" t="s">
        <v>2665</v>
      </c>
      <c r="E246" s="5910" t="s">
        <v>2668</v>
      </c>
      <c r="F246" s="5910" t="s">
        <v>2331</v>
      </c>
      <c r="G246" s="5910" t="s">
        <v>24</v>
      </c>
      <c r="H246" s="5910" t="s">
        <v>24</v>
      </c>
      <c r="I246" s="5910" t="s">
        <v>1622</v>
      </c>
    </row>
    <row customHeight="1" ht="11.25">
      <c r="A247" s="5910" t="s">
        <v>2181</v>
      </c>
      <c r="B247" s="5910" t="s">
        <v>14</v>
      </c>
      <c r="C247" s="5910" t="s">
        <v>2669</v>
      </c>
      <c r="D247" s="5910" t="s">
        <v>2670</v>
      </c>
      <c r="E247" s="5910" t="s">
        <v>2671</v>
      </c>
      <c r="F247" s="5910" t="s">
        <v>2548</v>
      </c>
      <c r="G247" s="5910" t="s">
        <v>2672</v>
      </c>
      <c r="H247" s="5910" t="s">
        <v>24</v>
      </c>
      <c r="I247" s="591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8FA44-E86C-8C18-AFE6-42F07399287E}" mc:Ignorable="x14ac xr xr2 xr3">
  <sheetPr>
    <tabColor rgb="FFFFCC99"/>
  </sheetPr>
  <dimension ref="A1:G150"/>
  <sheetViews>
    <sheetView topLeftCell="A1" showGridLines="0" workbookViewId="0">
      <selection activeCell="A1" sqref="A1"/>
    </sheetView>
  </sheetViews>
  <sheetFormatPr customHeight="1" defaultRowHeight="11.25"/>
  <cols>
    <col min="1" max="1" style="5320" width="9.140625"/>
  </cols>
  <sheetData>
    <row customHeight="1" ht="11.25">
      <c r="A1" s="373" t="s">
        <v>2673</v>
      </c>
      <c r="B1" s="48" t="s">
        <v>2674</v>
      </c>
      <c r="C1" s="48" t="s">
        <v>2675</v>
      </c>
      <c r="D1" s="48" t="s">
        <v>2676</v>
      </c>
      <c r="E1" s="0" t="s">
        <v>2677</v>
      </c>
      <c r="F1" s="0" t="s">
        <v>2678</v>
      </c>
      <c r="G1" s="0" t="s">
        <v>2679</v>
      </c>
    </row>
    <row customHeight="1" ht="11.25">
      <c r="A2" s="373" t="s">
        <v>14</v>
      </c>
      <c r="B2" s="0" t="s">
        <v>2680</v>
      </c>
      <c r="C2" s="0" t="s">
        <v>2681</v>
      </c>
      <c r="D2" s="0" t="s">
        <v>2682</v>
      </c>
      <c r="E2" s="0" t="s">
        <v>2683</v>
      </c>
      <c r="F2" s="0" t="s">
        <v>2684</v>
      </c>
      <c r="G2" s="0" t="s">
        <v>107</v>
      </c>
    </row>
    <row customHeight="1" ht="11.25">
      <c r="A3" s="373" t="s">
        <v>14</v>
      </c>
      <c r="B3" s="0" t="s">
        <v>2680</v>
      </c>
      <c r="C3" s="0" t="s">
        <v>2681</v>
      </c>
      <c r="D3" s="0" t="s">
        <v>2680</v>
      </c>
      <c r="E3" s="0" t="s">
        <v>2681</v>
      </c>
      <c r="F3" s="0" t="s">
        <v>2685</v>
      </c>
      <c r="G3" s="0" t="s">
        <v>108</v>
      </c>
    </row>
    <row customHeight="1" ht="11.25">
      <c r="A4" s="373" t="s">
        <v>14</v>
      </c>
      <c r="B4" s="0" t="s">
        <v>2680</v>
      </c>
      <c r="C4" s="0" t="s">
        <v>2681</v>
      </c>
      <c r="D4" s="0" t="s">
        <v>2686</v>
      </c>
      <c r="E4" s="0" t="s">
        <v>2687</v>
      </c>
      <c r="F4" s="0" t="s">
        <v>2684</v>
      </c>
      <c r="G4" s="0" t="s">
        <v>88</v>
      </c>
    </row>
    <row customHeight="1" ht="11.25">
      <c r="A5" s="373" t="s">
        <v>14</v>
      </c>
      <c r="B5" s="0" t="s">
        <v>2680</v>
      </c>
      <c r="C5" s="0" t="s">
        <v>2681</v>
      </c>
      <c r="D5" s="0" t="s">
        <v>2688</v>
      </c>
      <c r="E5" s="0" t="s">
        <v>2689</v>
      </c>
      <c r="F5" s="0" t="s">
        <v>2684</v>
      </c>
      <c r="G5" s="0" t="s">
        <v>89</v>
      </c>
    </row>
    <row customHeight="1" ht="11.25">
      <c r="A6" s="373" t="s">
        <v>14</v>
      </c>
      <c r="B6" s="0" t="s">
        <v>2680</v>
      </c>
      <c r="C6" s="0" t="s">
        <v>2681</v>
      </c>
      <c r="D6" s="0" t="s">
        <v>2690</v>
      </c>
      <c r="E6" s="0" t="s">
        <v>2691</v>
      </c>
      <c r="F6" s="0" t="s">
        <v>2684</v>
      </c>
      <c r="G6" s="0" t="s">
        <v>109</v>
      </c>
    </row>
    <row customHeight="1" ht="11.25">
      <c r="A7" s="373" t="s">
        <v>14</v>
      </c>
      <c r="B7" s="0" t="s">
        <v>2680</v>
      </c>
      <c r="C7" s="0" t="s">
        <v>2681</v>
      </c>
      <c r="D7" s="0" t="s">
        <v>2692</v>
      </c>
      <c r="E7" s="0" t="s">
        <v>2693</v>
      </c>
      <c r="F7" s="0" t="s">
        <v>2684</v>
      </c>
      <c r="G7" s="0" t="s">
        <v>90</v>
      </c>
    </row>
    <row customHeight="1" ht="11.25">
      <c r="A8" s="373" t="s">
        <v>14</v>
      </c>
      <c r="B8" s="0" t="s">
        <v>2680</v>
      </c>
      <c r="C8" s="0" t="s">
        <v>2681</v>
      </c>
      <c r="D8" s="0" t="s">
        <v>2694</v>
      </c>
      <c r="E8" s="0" t="s">
        <v>2695</v>
      </c>
      <c r="F8" s="0" t="s">
        <v>2684</v>
      </c>
      <c r="G8" s="0" t="s">
        <v>91</v>
      </c>
    </row>
    <row customHeight="1" ht="11.25">
      <c r="A9" s="373" t="s">
        <v>14</v>
      </c>
      <c r="B9" s="0" t="s">
        <v>2680</v>
      </c>
      <c r="C9" s="0" t="s">
        <v>2681</v>
      </c>
      <c r="D9" s="0" t="s">
        <v>2696</v>
      </c>
      <c r="E9" s="0" t="s">
        <v>2697</v>
      </c>
      <c r="F9" s="0" t="s">
        <v>2684</v>
      </c>
      <c r="G9" s="0" t="s">
        <v>110</v>
      </c>
    </row>
    <row customHeight="1" ht="11.25">
      <c r="A10" s="373" t="s">
        <v>14</v>
      </c>
      <c r="B10" s="0" t="s">
        <v>2680</v>
      </c>
      <c r="C10" s="0" t="s">
        <v>2681</v>
      </c>
      <c r="D10" s="0" t="s">
        <v>2698</v>
      </c>
      <c r="E10" s="0" t="s">
        <v>2699</v>
      </c>
      <c r="F10" s="0" t="s">
        <v>2700</v>
      </c>
      <c r="G10" s="0" t="s">
        <v>146</v>
      </c>
    </row>
    <row customHeight="1" ht="11.25">
      <c r="A11" s="373" t="s">
        <v>14</v>
      </c>
      <c r="B11" s="0" t="s">
        <v>2701</v>
      </c>
      <c r="C11" s="0" t="s">
        <v>2702</v>
      </c>
      <c r="D11" s="0" t="s">
        <v>2703</v>
      </c>
      <c r="E11" s="0" t="s">
        <v>2704</v>
      </c>
      <c r="F11" s="0" t="s">
        <v>2684</v>
      </c>
      <c r="G11" s="0" t="s">
        <v>147</v>
      </c>
    </row>
    <row customHeight="1" ht="11.25">
      <c r="A12" s="373" t="s">
        <v>14</v>
      </c>
      <c r="B12" s="0" t="s">
        <v>2701</v>
      </c>
      <c r="C12" s="0" t="s">
        <v>2702</v>
      </c>
      <c r="D12" s="0" t="s">
        <v>2701</v>
      </c>
      <c r="E12" s="0" t="s">
        <v>2702</v>
      </c>
      <c r="F12" s="0" t="s">
        <v>2685</v>
      </c>
      <c r="G12" s="0" t="s">
        <v>148</v>
      </c>
    </row>
    <row customHeight="1" ht="11.25">
      <c r="A13" s="373" t="s">
        <v>14</v>
      </c>
      <c r="B13" s="0" t="s">
        <v>2701</v>
      </c>
      <c r="C13" s="0" t="s">
        <v>2702</v>
      </c>
      <c r="D13" s="0" t="s">
        <v>2705</v>
      </c>
      <c r="E13" s="0" t="s">
        <v>2706</v>
      </c>
      <c r="F13" s="0" t="s">
        <v>2684</v>
      </c>
      <c r="G13" s="0" t="s">
        <v>149</v>
      </c>
    </row>
    <row customHeight="1" ht="11.25">
      <c r="A14" s="373" t="s">
        <v>14</v>
      </c>
      <c r="B14" s="0" t="s">
        <v>2701</v>
      </c>
      <c r="C14" s="0" t="s">
        <v>2702</v>
      </c>
      <c r="D14" s="0" t="s">
        <v>2707</v>
      </c>
      <c r="E14" s="0" t="s">
        <v>2708</v>
      </c>
      <c r="F14" s="0" t="s">
        <v>2684</v>
      </c>
      <c r="G14" s="0" t="s">
        <v>150</v>
      </c>
    </row>
    <row customHeight="1" ht="11.25">
      <c r="A15" s="373" t="s">
        <v>14</v>
      </c>
      <c r="B15" s="0" t="s">
        <v>2701</v>
      </c>
      <c r="C15" s="0" t="s">
        <v>2702</v>
      </c>
      <c r="D15" s="0" t="s">
        <v>2709</v>
      </c>
      <c r="E15" s="0" t="s">
        <v>2710</v>
      </c>
      <c r="F15" s="0" t="s">
        <v>2684</v>
      </c>
      <c r="G15" s="0" t="s">
        <v>151</v>
      </c>
    </row>
    <row customHeight="1" ht="11.25">
      <c r="A16" s="373" t="s">
        <v>14</v>
      </c>
      <c r="B16" s="0" t="s">
        <v>2701</v>
      </c>
      <c r="C16" s="0" t="s">
        <v>2702</v>
      </c>
      <c r="D16" s="0" t="s">
        <v>2711</v>
      </c>
      <c r="E16" s="0" t="s">
        <v>2712</v>
      </c>
      <c r="F16" s="0" t="s">
        <v>2684</v>
      </c>
      <c r="G16" s="0" t="s">
        <v>1467</v>
      </c>
    </row>
    <row customHeight="1" ht="11.25">
      <c r="A17" s="373" t="s">
        <v>14</v>
      </c>
      <c r="B17" s="0" t="s">
        <v>2701</v>
      </c>
      <c r="C17" s="0" t="s">
        <v>2702</v>
      </c>
      <c r="D17" s="0" t="s">
        <v>2713</v>
      </c>
      <c r="E17" s="0" t="s">
        <v>2714</v>
      </c>
      <c r="F17" s="0" t="s">
        <v>2684</v>
      </c>
      <c r="G17" s="0" t="s">
        <v>1473</v>
      </c>
    </row>
    <row customHeight="1" ht="11.25">
      <c r="A18" s="373" t="s">
        <v>14</v>
      </c>
      <c r="B18" s="0" t="s">
        <v>2701</v>
      </c>
      <c r="C18" s="0" t="s">
        <v>2702</v>
      </c>
      <c r="D18" s="0" t="s">
        <v>2715</v>
      </c>
      <c r="E18" s="0" t="s">
        <v>2716</v>
      </c>
      <c r="F18" s="0" t="s">
        <v>2684</v>
      </c>
      <c r="G18" s="0" t="s">
        <v>1484</v>
      </c>
    </row>
    <row customHeight="1" ht="11.25">
      <c r="A19" s="373" t="s">
        <v>14</v>
      </c>
      <c r="B19" s="0" t="s">
        <v>2701</v>
      </c>
      <c r="C19" s="0" t="s">
        <v>2702</v>
      </c>
      <c r="D19" s="0" t="s">
        <v>2717</v>
      </c>
      <c r="E19" s="0" t="s">
        <v>2718</v>
      </c>
      <c r="F19" s="0" t="s">
        <v>2684</v>
      </c>
      <c r="G19" s="0" t="s">
        <v>1498</v>
      </c>
    </row>
    <row customHeight="1" ht="11.25">
      <c r="A20" s="373" t="s">
        <v>14</v>
      </c>
      <c r="B20" s="0" t="s">
        <v>2701</v>
      </c>
      <c r="C20" s="0" t="s">
        <v>2702</v>
      </c>
      <c r="D20" s="0" t="s">
        <v>2719</v>
      </c>
      <c r="E20" s="0" t="s">
        <v>2720</v>
      </c>
      <c r="F20" s="0" t="s">
        <v>2684</v>
      </c>
      <c r="G20" s="0" t="s">
        <v>1510</v>
      </c>
    </row>
    <row customHeight="1" ht="11.25">
      <c r="A21" s="373" t="s">
        <v>14</v>
      </c>
      <c r="B21" s="0" t="s">
        <v>2701</v>
      </c>
      <c r="C21" s="0" t="s">
        <v>2702</v>
      </c>
      <c r="D21" s="0" t="s">
        <v>2721</v>
      </c>
      <c r="E21" s="0" t="s">
        <v>2722</v>
      </c>
      <c r="F21" s="0" t="s">
        <v>2684</v>
      </c>
      <c r="G21" s="0" t="s">
        <v>1519</v>
      </c>
    </row>
    <row customHeight="1" ht="11.25">
      <c r="A22" s="373" t="s">
        <v>14</v>
      </c>
      <c r="B22" s="0" t="s">
        <v>2723</v>
      </c>
      <c r="C22" s="0" t="s">
        <v>2724</v>
      </c>
      <c r="D22" s="0" t="s">
        <v>2723</v>
      </c>
      <c r="E22" s="0" t="s">
        <v>2724</v>
      </c>
      <c r="F22" s="0" t="s">
        <v>2685</v>
      </c>
      <c r="G22" s="0" t="s">
        <v>1534</v>
      </c>
    </row>
    <row customHeight="1" ht="11.25">
      <c r="A23" s="373" t="s">
        <v>14</v>
      </c>
      <c r="B23" s="0" t="s">
        <v>2723</v>
      </c>
      <c r="C23" s="0" t="s">
        <v>2724</v>
      </c>
      <c r="D23" s="0" t="s">
        <v>2725</v>
      </c>
      <c r="E23" s="0" t="s">
        <v>2726</v>
      </c>
      <c r="F23" s="0" t="s">
        <v>2684</v>
      </c>
      <c r="G23" s="0" t="s">
        <v>1541</v>
      </c>
    </row>
    <row customHeight="1" ht="11.25">
      <c r="A24" s="373" t="s">
        <v>14</v>
      </c>
      <c r="B24" s="0" t="s">
        <v>2723</v>
      </c>
      <c r="C24" s="0" t="s">
        <v>2724</v>
      </c>
      <c r="D24" s="0" t="s">
        <v>2727</v>
      </c>
      <c r="E24" s="0" t="s">
        <v>2728</v>
      </c>
      <c r="F24" s="0" t="s">
        <v>2684</v>
      </c>
      <c r="G24" s="0" t="s">
        <v>1549</v>
      </c>
    </row>
    <row customHeight="1" ht="11.25">
      <c r="A25" s="373" t="s">
        <v>14</v>
      </c>
      <c r="B25" s="0" t="s">
        <v>2723</v>
      </c>
      <c r="C25" s="0" t="s">
        <v>2724</v>
      </c>
      <c r="D25" s="0" t="s">
        <v>2729</v>
      </c>
      <c r="E25" s="0" t="s">
        <v>2730</v>
      </c>
      <c r="F25" s="0" t="s">
        <v>2684</v>
      </c>
      <c r="G25" s="0" t="s">
        <v>1556</v>
      </c>
    </row>
    <row customHeight="1" ht="11.25">
      <c r="A26" s="373" t="s">
        <v>14</v>
      </c>
      <c r="B26" s="0" t="s">
        <v>2723</v>
      </c>
      <c r="C26" s="0" t="s">
        <v>2724</v>
      </c>
      <c r="D26" s="0" t="s">
        <v>2731</v>
      </c>
      <c r="E26" s="0" t="s">
        <v>2732</v>
      </c>
      <c r="F26" s="0" t="s">
        <v>2684</v>
      </c>
      <c r="G26" s="0" t="s">
        <v>1560</v>
      </c>
    </row>
    <row customHeight="1" ht="11.25">
      <c r="A27" s="373" t="s">
        <v>14</v>
      </c>
      <c r="B27" s="0" t="s">
        <v>2723</v>
      </c>
      <c r="C27" s="0" t="s">
        <v>2724</v>
      </c>
      <c r="D27" s="0" t="s">
        <v>2733</v>
      </c>
      <c r="E27" s="0" t="s">
        <v>2734</v>
      </c>
      <c r="F27" s="0" t="s">
        <v>2684</v>
      </c>
      <c r="G27" s="0" t="s">
        <v>1565</v>
      </c>
    </row>
    <row customHeight="1" ht="11.25">
      <c r="A28" s="373" t="s">
        <v>14</v>
      </c>
      <c r="B28" s="0" t="s">
        <v>2723</v>
      </c>
      <c r="C28" s="0" t="s">
        <v>2724</v>
      </c>
      <c r="D28" s="0" t="s">
        <v>2735</v>
      </c>
      <c r="E28" s="0" t="s">
        <v>2736</v>
      </c>
      <c r="F28" s="0" t="s">
        <v>2684</v>
      </c>
      <c r="G28" s="0" t="s">
        <v>1573</v>
      </c>
    </row>
    <row customHeight="1" ht="11.25">
      <c r="A29" s="373" t="s">
        <v>14</v>
      </c>
      <c r="B29" s="0" t="s">
        <v>2723</v>
      </c>
      <c r="C29" s="0" t="s">
        <v>2724</v>
      </c>
      <c r="D29" s="0" t="s">
        <v>2737</v>
      </c>
      <c r="E29" s="0" t="s">
        <v>2738</v>
      </c>
      <c r="F29" s="0" t="s">
        <v>2684</v>
      </c>
      <c r="G29" s="0" t="s">
        <v>1575</v>
      </c>
    </row>
    <row customHeight="1" ht="11.25">
      <c r="A30" s="373" t="s">
        <v>14</v>
      </c>
      <c r="B30" s="0" t="s">
        <v>2723</v>
      </c>
      <c r="C30" s="0" t="s">
        <v>2724</v>
      </c>
      <c r="D30" s="0" t="s">
        <v>2739</v>
      </c>
      <c r="E30" s="0" t="s">
        <v>2740</v>
      </c>
      <c r="F30" s="0" t="s">
        <v>2741</v>
      </c>
      <c r="G30" s="0" t="s">
        <v>1578</v>
      </c>
    </row>
    <row customHeight="1" ht="11.25">
      <c r="A31" s="373" t="s">
        <v>14</v>
      </c>
      <c r="B31" s="0" t="s">
        <v>2723</v>
      </c>
      <c r="C31" s="0" t="s">
        <v>2724</v>
      </c>
      <c r="D31" s="0" t="s">
        <v>2742</v>
      </c>
      <c r="E31" s="0" t="s">
        <v>2743</v>
      </c>
      <c r="F31" s="0" t="s">
        <v>2700</v>
      </c>
      <c r="G31" s="0" t="s">
        <v>1584</v>
      </c>
    </row>
    <row customHeight="1" ht="11.25">
      <c r="A32" s="373" t="s">
        <v>14</v>
      </c>
      <c r="B32" s="0" t="s">
        <v>2723</v>
      </c>
      <c r="C32" s="0" t="s">
        <v>2724</v>
      </c>
      <c r="D32" s="0" t="s">
        <v>2744</v>
      </c>
      <c r="E32" s="0" t="s">
        <v>2745</v>
      </c>
      <c r="F32" s="0" t="s">
        <v>2700</v>
      </c>
      <c r="G32" s="0" t="s">
        <v>1586</v>
      </c>
    </row>
    <row customHeight="1" ht="11.25">
      <c r="A33" s="373" t="s">
        <v>14</v>
      </c>
      <c r="B33" s="0" t="s">
        <v>2746</v>
      </c>
      <c r="C33" s="0" t="s">
        <v>2747</v>
      </c>
      <c r="D33" s="0" t="s">
        <v>2748</v>
      </c>
      <c r="E33" s="0" t="s">
        <v>2749</v>
      </c>
      <c r="F33" s="0" t="s">
        <v>2684</v>
      </c>
      <c r="G33" s="0" t="s">
        <v>1588</v>
      </c>
    </row>
    <row customHeight="1" ht="11.25">
      <c r="A34" s="373" t="s">
        <v>14</v>
      </c>
      <c r="B34" s="0" t="s">
        <v>2746</v>
      </c>
      <c r="C34" s="0" t="s">
        <v>2747</v>
      </c>
      <c r="D34" s="0" t="s">
        <v>2750</v>
      </c>
      <c r="E34" s="0" t="s">
        <v>2751</v>
      </c>
      <c r="F34" s="0" t="s">
        <v>2684</v>
      </c>
      <c r="G34" s="0" t="s">
        <v>1590</v>
      </c>
    </row>
    <row customHeight="1" ht="11.25">
      <c r="A35" s="373" t="s">
        <v>14</v>
      </c>
      <c r="B35" s="0" t="s">
        <v>2746</v>
      </c>
      <c r="C35" s="0" t="s">
        <v>2747</v>
      </c>
      <c r="D35" s="0" t="s">
        <v>2752</v>
      </c>
      <c r="E35" s="0" t="s">
        <v>2753</v>
      </c>
      <c r="F35" s="0" t="s">
        <v>2684</v>
      </c>
      <c r="G35" s="0" t="s">
        <v>1595</v>
      </c>
    </row>
    <row customHeight="1" ht="11.25">
      <c r="A36" s="373" t="s">
        <v>14</v>
      </c>
      <c r="B36" s="0" t="s">
        <v>2746</v>
      </c>
      <c r="C36" s="0" t="s">
        <v>2747</v>
      </c>
      <c r="D36" s="0" t="s">
        <v>2746</v>
      </c>
      <c r="E36" s="0" t="s">
        <v>2747</v>
      </c>
      <c r="F36" s="0" t="s">
        <v>2685</v>
      </c>
      <c r="G36" s="0" t="s">
        <v>1600</v>
      </c>
    </row>
    <row customHeight="1" ht="11.25">
      <c r="A37" s="373" t="s">
        <v>14</v>
      </c>
      <c r="B37" s="0" t="s">
        <v>2746</v>
      </c>
      <c r="C37" s="0" t="s">
        <v>2747</v>
      </c>
      <c r="D37" s="0" t="s">
        <v>2754</v>
      </c>
      <c r="E37" s="0" t="s">
        <v>2755</v>
      </c>
      <c r="F37" s="0" t="s">
        <v>2684</v>
      </c>
      <c r="G37" s="0" t="s">
        <v>1604</v>
      </c>
    </row>
    <row customHeight="1" ht="11.25">
      <c r="A38" s="373" t="s">
        <v>14</v>
      </c>
      <c r="B38" s="0" t="s">
        <v>2746</v>
      </c>
      <c r="C38" s="0" t="s">
        <v>2747</v>
      </c>
      <c r="D38" s="0" t="s">
        <v>2756</v>
      </c>
      <c r="E38" s="0" t="s">
        <v>2757</v>
      </c>
      <c r="F38" s="0" t="s">
        <v>2684</v>
      </c>
      <c r="G38" s="0" t="s">
        <v>1612</v>
      </c>
    </row>
    <row customHeight="1" ht="11.25">
      <c r="A39" s="373" t="s">
        <v>14</v>
      </c>
      <c r="B39" s="0" t="s">
        <v>2746</v>
      </c>
      <c r="C39" s="0" t="s">
        <v>2747</v>
      </c>
      <c r="D39" s="0" t="s">
        <v>2758</v>
      </c>
      <c r="E39" s="0" t="s">
        <v>2759</v>
      </c>
      <c r="F39" s="0" t="s">
        <v>2684</v>
      </c>
      <c r="G39" s="0" t="s">
        <v>1618</v>
      </c>
    </row>
    <row customHeight="1" ht="11.25">
      <c r="A40" s="373" t="s">
        <v>14</v>
      </c>
      <c r="B40" s="0" t="s">
        <v>2746</v>
      </c>
      <c r="C40" s="0" t="s">
        <v>2747</v>
      </c>
      <c r="D40" s="0" t="s">
        <v>2760</v>
      </c>
      <c r="E40" s="0" t="s">
        <v>2761</v>
      </c>
      <c r="F40" s="0" t="s">
        <v>2684</v>
      </c>
      <c r="G40" s="0" t="s">
        <v>1623</v>
      </c>
    </row>
    <row customHeight="1" ht="11.25">
      <c r="A41" s="373" t="s">
        <v>14</v>
      </c>
      <c r="B41" s="0" t="s">
        <v>2746</v>
      </c>
      <c r="C41" s="0" t="s">
        <v>2747</v>
      </c>
      <c r="D41" s="0" t="s">
        <v>2762</v>
      </c>
      <c r="E41" s="0" t="s">
        <v>2763</v>
      </c>
      <c r="F41" s="0" t="s">
        <v>2684</v>
      </c>
      <c r="G41" s="0" t="s">
        <v>1627</v>
      </c>
    </row>
    <row customHeight="1" ht="11.25">
      <c r="A42" s="373" t="s">
        <v>14</v>
      </c>
      <c r="B42" s="0" t="s">
        <v>2746</v>
      </c>
      <c r="C42" s="0" t="s">
        <v>2747</v>
      </c>
      <c r="D42" s="0" t="s">
        <v>2764</v>
      </c>
      <c r="E42" s="0" t="s">
        <v>2765</v>
      </c>
      <c r="F42" s="0" t="s">
        <v>2700</v>
      </c>
      <c r="G42" s="0" t="s">
        <v>1630</v>
      </c>
    </row>
    <row customHeight="1" ht="11.25">
      <c r="A43" s="373" t="s">
        <v>14</v>
      </c>
      <c r="B43" s="0" t="s">
        <v>2766</v>
      </c>
      <c r="C43" s="0" t="s">
        <v>2767</v>
      </c>
      <c r="D43" s="0" t="s">
        <v>2768</v>
      </c>
      <c r="E43" s="0" t="s">
        <v>2769</v>
      </c>
      <c r="F43" s="0" t="s">
        <v>2684</v>
      </c>
      <c r="G43" s="0" t="s">
        <v>1637</v>
      </c>
    </row>
    <row customHeight="1" ht="11.25">
      <c r="A44" s="373" t="s">
        <v>14</v>
      </c>
      <c r="B44" s="0" t="s">
        <v>2766</v>
      </c>
      <c r="C44" s="0" t="s">
        <v>2767</v>
      </c>
      <c r="D44" s="0" t="s">
        <v>2766</v>
      </c>
      <c r="E44" s="0" t="s">
        <v>2767</v>
      </c>
      <c r="F44" s="0" t="s">
        <v>2685</v>
      </c>
      <c r="G44" s="0" t="s">
        <v>1646</v>
      </c>
    </row>
    <row customHeight="1" ht="11.25">
      <c r="A45" s="373" t="s">
        <v>14</v>
      </c>
      <c r="B45" s="0" t="s">
        <v>2766</v>
      </c>
      <c r="C45" s="0" t="s">
        <v>2767</v>
      </c>
      <c r="D45" s="0" t="s">
        <v>2770</v>
      </c>
      <c r="E45" s="0" t="s">
        <v>2771</v>
      </c>
      <c r="F45" s="0" t="s">
        <v>2684</v>
      </c>
      <c r="G45" s="0" t="s">
        <v>1651</v>
      </c>
    </row>
    <row customHeight="1" ht="11.25">
      <c r="A46" s="373" t="s">
        <v>14</v>
      </c>
      <c r="B46" s="0" t="s">
        <v>2766</v>
      </c>
      <c r="C46" s="0" t="s">
        <v>2767</v>
      </c>
      <c r="D46" s="0" t="s">
        <v>2772</v>
      </c>
      <c r="E46" s="0" t="s">
        <v>2773</v>
      </c>
      <c r="F46" s="0" t="s">
        <v>2684</v>
      </c>
      <c r="G46" s="0" t="s">
        <v>1655</v>
      </c>
    </row>
    <row customHeight="1" ht="11.25">
      <c r="A47" s="373" t="s">
        <v>14</v>
      </c>
      <c r="B47" s="0" t="s">
        <v>2766</v>
      </c>
      <c r="C47" s="0" t="s">
        <v>2767</v>
      </c>
      <c r="D47" s="0" t="s">
        <v>2774</v>
      </c>
      <c r="E47" s="0" t="s">
        <v>2775</v>
      </c>
      <c r="F47" s="0" t="s">
        <v>2684</v>
      </c>
      <c r="G47" s="0" t="s">
        <v>1661</v>
      </c>
    </row>
    <row customHeight="1" ht="11.25">
      <c r="A48" s="373" t="s">
        <v>14</v>
      </c>
      <c r="B48" s="0" t="s">
        <v>2766</v>
      </c>
      <c r="C48" s="0" t="s">
        <v>2767</v>
      </c>
      <c r="D48" s="0" t="s">
        <v>2776</v>
      </c>
      <c r="E48" s="0" t="s">
        <v>2777</v>
      </c>
      <c r="F48" s="0" t="s">
        <v>2684</v>
      </c>
      <c r="G48" s="0" t="s">
        <v>1666</v>
      </c>
    </row>
    <row customHeight="1" ht="11.25">
      <c r="A49" s="373" t="s">
        <v>14</v>
      </c>
      <c r="B49" s="0" t="s">
        <v>2766</v>
      </c>
      <c r="C49" s="0" t="s">
        <v>2767</v>
      </c>
      <c r="D49" s="0" t="s">
        <v>2778</v>
      </c>
      <c r="E49" s="0" t="s">
        <v>2779</v>
      </c>
      <c r="F49" s="0" t="s">
        <v>2684</v>
      </c>
      <c r="G49" s="0" t="s">
        <v>1669</v>
      </c>
    </row>
    <row customHeight="1" ht="11.25">
      <c r="A50" s="373" t="s">
        <v>14</v>
      </c>
      <c r="B50" s="0" t="s">
        <v>2766</v>
      </c>
      <c r="C50" s="0" t="s">
        <v>2767</v>
      </c>
      <c r="D50" s="0" t="s">
        <v>2780</v>
      </c>
      <c r="E50" s="0" t="s">
        <v>2781</v>
      </c>
      <c r="F50" s="0" t="s">
        <v>2684</v>
      </c>
      <c r="G50" s="0" t="s">
        <v>1673</v>
      </c>
    </row>
    <row customHeight="1" ht="11.25">
      <c r="A51" s="373" t="s">
        <v>14</v>
      </c>
      <c r="B51" s="0" t="s">
        <v>2766</v>
      </c>
      <c r="C51" s="0" t="s">
        <v>2767</v>
      </c>
      <c r="D51" s="0" t="s">
        <v>2782</v>
      </c>
      <c r="E51" s="0" t="s">
        <v>2783</v>
      </c>
      <c r="F51" s="0" t="s">
        <v>2684</v>
      </c>
      <c r="G51" s="0" t="s">
        <v>1677</v>
      </c>
    </row>
    <row customHeight="1" ht="11.25">
      <c r="A52" s="373" t="s">
        <v>14</v>
      </c>
      <c r="B52" s="0" t="s">
        <v>2766</v>
      </c>
      <c r="C52" s="0" t="s">
        <v>2767</v>
      </c>
      <c r="D52" s="0" t="s">
        <v>2784</v>
      </c>
      <c r="E52" s="0" t="s">
        <v>2785</v>
      </c>
      <c r="F52" s="0" t="s">
        <v>2700</v>
      </c>
      <c r="G52" s="0" t="s">
        <v>1681</v>
      </c>
    </row>
    <row customHeight="1" ht="11.25">
      <c r="A53" s="373" t="s">
        <v>14</v>
      </c>
      <c r="B53" s="0" t="s">
        <v>2786</v>
      </c>
      <c r="C53" s="0" t="s">
        <v>2787</v>
      </c>
      <c r="D53" s="0" t="s">
        <v>2788</v>
      </c>
      <c r="E53" s="0" t="s">
        <v>2789</v>
      </c>
      <c r="F53" s="0" t="s">
        <v>2684</v>
      </c>
      <c r="G53" s="0" t="s">
        <v>1683</v>
      </c>
    </row>
    <row customHeight="1" ht="11.25">
      <c r="A54" s="373" t="s">
        <v>14</v>
      </c>
      <c r="B54" s="0" t="s">
        <v>2786</v>
      </c>
      <c r="C54" s="0" t="s">
        <v>2787</v>
      </c>
      <c r="D54" s="0" t="s">
        <v>2790</v>
      </c>
      <c r="E54" s="0" t="s">
        <v>2791</v>
      </c>
      <c r="F54" s="0" t="s">
        <v>2684</v>
      </c>
      <c r="G54" s="0" t="s">
        <v>1686</v>
      </c>
    </row>
    <row customHeight="1" ht="11.25">
      <c r="A55" s="373" t="s">
        <v>14</v>
      </c>
      <c r="B55" s="0" t="s">
        <v>2786</v>
      </c>
      <c r="C55" s="0" t="s">
        <v>2787</v>
      </c>
      <c r="D55" s="0" t="s">
        <v>2792</v>
      </c>
      <c r="E55" s="0" t="s">
        <v>2793</v>
      </c>
      <c r="F55" s="0" t="s">
        <v>2684</v>
      </c>
      <c r="G55" s="0" t="s">
        <v>1690</v>
      </c>
    </row>
    <row customHeight="1" ht="11.25">
      <c r="A56" s="373" t="s">
        <v>14</v>
      </c>
      <c r="B56" s="0" t="s">
        <v>2786</v>
      </c>
      <c r="C56" s="0" t="s">
        <v>2787</v>
      </c>
      <c r="D56" s="0" t="s">
        <v>2786</v>
      </c>
      <c r="E56" s="0" t="s">
        <v>2787</v>
      </c>
      <c r="F56" s="0" t="s">
        <v>2685</v>
      </c>
      <c r="G56" s="0" t="s">
        <v>1693</v>
      </c>
    </row>
    <row customHeight="1" ht="11.25">
      <c r="A57" s="373" t="s">
        <v>14</v>
      </c>
      <c r="B57" s="0" t="s">
        <v>2786</v>
      </c>
      <c r="C57" s="0" t="s">
        <v>2787</v>
      </c>
      <c r="D57" s="0" t="s">
        <v>2794</v>
      </c>
      <c r="E57" s="0" t="s">
        <v>2795</v>
      </c>
      <c r="F57" s="0" t="s">
        <v>2684</v>
      </c>
      <c r="G57" s="0" t="s">
        <v>1696</v>
      </c>
    </row>
    <row customHeight="1" ht="11.25">
      <c r="A58" s="373" t="s">
        <v>14</v>
      </c>
      <c r="B58" s="0" t="s">
        <v>2786</v>
      </c>
      <c r="C58" s="0" t="s">
        <v>2787</v>
      </c>
      <c r="D58" s="0" t="s">
        <v>2796</v>
      </c>
      <c r="E58" s="0" t="s">
        <v>2797</v>
      </c>
      <c r="F58" s="0" t="s">
        <v>2684</v>
      </c>
      <c r="G58" s="0" t="s">
        <v>1699</v>
      </c>
    </row>
    <row customHeight="1" ht="11.25">
      <c r="A59" s="373" t="s">
        <v>14</v>
      </c>
      <c r="B59" s="0" t="s">
        <v>2786</v>
      </c>
      <c r="C59" s="0" t="s">
        <v>2787</v>
      </c>
      <c r="D59" s="0" t="s">
        <v>2798</v>
      </c>
      <c r="E59" s="0" t="s">
        <v>2799</v>
      </c>
      <c r="F59" s="0" t="s">
        <v>2700</v>
      </c>
      <c r="G59" s="0" t="s">
        <v>1703</v>
      </c>
    </row>
    <row customHeight="1" ht="11.25">
      <c r="A60" s="373" t="s">
        <v>14</v>
      </c>
      <c r="B60" s="0" t="s">
        <v>2800</v>
      </c>
      <c r="C60" s="0" t="s">
        <v>2801</v>
      </c>
      <c r="D60" s="0" t="s">
        <v>2802</v>
      </c>
      <c r="E60" s="0" t="s">
        <v>2803</v>
      </c>
      <c r="F60" s="0" t="s">
        <v>2684</v>
      </c>
      <c r="G60" s="0" t="s">
        <v>1705</v>
      </c>
    </row>
    <row customHeight="1" ht="11.25">
      <c r="A61" s="373" t="s">
        <v>14</v>
      </c>
      <c r="B61" s="0" t="s">
        <v>2800</v>
      </c>
      <c r="C61" s="0" t="s">
        <v>2801</v>
      </c>
      <c r="D61" s="0" t="s">
        <v>2804</v>
      </c>
      <c r="E61" s="0" t="s">
        <v>2805</v>
      </c>
      <c r="F61" s="0" t="s">
        <v>2684</v>
      </c>
      <c r="G61" s="0" t="s">
        <v>2806</v>
      </c>
    </row>
    <row customHeight="1" ht="11.25">
      <c r="A62" s="373" t="s">
        <v>14</v>
      </c>
      <c r="B62" s="0" t="s">
        <v>2800</v>
      </c>
      <c r="C62" s="0" t="s">
        <v>2801</v>
      </c>
      <c r="D62" s="0" t="s">
        <v>2807</v>
      </c>
      <c r="E62" s="0" t="s">
        <v>2808</v>
      </c>
      <c r="F62" s="0" t="s">
        <v>2684</v>
      </c>
      <c r="G62" s="0" t="s">
        <v>2809</v>
      </c>
    </row>
    <row customHeight="1" ht="11.25">
      <c r="A63" s="373" t="s">
        <v>14</v>
      </c>
      <c r="B63" s="0" t="s">
        <v>2800</v>
      </c>
      <c r="C63" s="0" t="s">
        <v>2801</v>
      </c>
      <c r="D63" s="0" t="s">
        <v>2810</v>
      </c>
      <c r="E63" s="0" t="s">
        <v>2811</v>
      </c>
      <c r="F63" s="0" t="s">
        <v>2684</v>
      </c>
      <c r="G63" s="0" t="s">
        <v>2812</v>
      </c>
    </row>
    <row customHeight="1" ht="11.25">
      <c r="A64" s="373" t="s">
        <v>14</v>
      </c>
      <c r="B64" s="0" t="s">
        <v>2800</v>
      </c>
      <c r="C64" s="0" t="s">
        <v>2801</v>
      </c>
      <c r="D64" s="0" t="s">
        <v>2711</v>
      </c>
      <c r="E64" s="0" t="s">
        <v>2813</v>
      </c>
      <c r="F64" s="0" t="s">
        <v>2684</v>
      </c>
      <c r="G64" s="0" t="s">
        <v>2814</v>
      </c>
    </row>
    <row customHeight="1" ht="11.25">
      <c r="A65" s="373" t="s">
        <v>14</v>
      </c>
      <c r="B65" s="0" t="s">
        <v>2800</v>
      </c>
      <c r="C65" s="0" t="s">
        <v>2801</v>
      </c>
      <c r="D65" s="0" t="s">
        <v>2815</v>
      </c>
      <c r="E65" s="0" t="s">
        <v>2816</v>
      </c>
      <c r="F65" s="0" t="s">
        <v>2684</v>
      </c>
      <c r="G65" s="0" t="s">
        <v>2817</v>
      </c>
    </row>
    <row customHeight="1" ht="11.25">
      <c r="A66" s="373" t="s">
        <v>14</v>
      </c>
      <c r="B66" s="0" t="s">
        <v>2800</v>
      </c>
      <c r="C66" s="0" t="s">
        <v>2801</v>
      </c>
      <c r="D66" s="0" t="s">
        <v>2818</v>
      </c>
      <c r="E66" s="0" t="s">
        <v>2819</v>
      </c>
      <c r="F66" s="0" t="s">
        <v>2684</v>
      </c>
      <c r="G66" s="0" t="s">
        <v>2820</v>
      </c>
    </row>
    <row customHeight="1" ht="11.25">
      <c r="A67" s="373" t="s">
        <v>14</v>
      </c>
      <c r="B67" s="0" t="s">
        <v>2800</v>
      </c>
      <c r="C67" s="0" t="s">
        <v>2801</v>
      </c>
      <c r="D67" s="0" t="s">
        <v>2821</v>
      </c>
      <c r="E67" s="0" t="s">
        <v>2822</v>
      </c>
      <c r="F67" s="0" t="s">
        <v>2684</v>
      </c>
      <c r="G67" s="0" t="s">
        <v>1927</v>
      </c>
    </row>
    <row customHeight="1" ht="11.25">
      <c r="A68" s="373" t="s">
        <v>14</v>
      </c>
      <c r="B68" s="0" t="s">
        <v>2800</v>
      </c>
      <c r="C68" s="0" t="s">
        <v>2801</v>
      </c>
      <c r="D68" s="0" t="s">
        <v>2800</v>
      </c>
      <c r="E68" s="0" t="s">
        <v>2801</v>
      </c>
      <c r="F68" s="0" t="s">
        <v>2685</v>
      </c>
      <c r="G68" s="0" t="s">
        <v>2823</v>
      </c>
    </row>
    <row customHeight="1" ht="11.25">
      <c r="A69" s="373" t="s">
        <v>14</v>
      </c>
      <c r="B69" s="0" t="s">
        <v>2800</v>
      </c>
      <c r="C69" s="0" t="s">
        <v>2801</v>
      </c>
      <c r="D69" s="0" t="s">
        <v>2824</v>
      </c>
      <c r="E69" s="0" t="s">
        <v>2825</v>
      </c>
      <c r="F69" s="0" t="s">
        <v>2684</v>
      </c>
      <c r="G69" s="0" t="s">
        <v>2138</v>
      </c>
    </row>
    <row customHeight="1" ht="11.25">
      <c r="A70" s="373" t="s">
        <v>14</v>
      </c>
      <c r="B70" s="0" t="s">
        <v>2800</v>
      </c>
      <c r="C70" s="0" t="s">
        <v>2801</v>
      </c>
      <c r="D70" s="0" t="s">
        <v>2826</v>
      </c>
      <c r="E70" s="0" t="s">
        <v>2827</v>
      </c>
      <c r="F70" s="0" t="s">
        <v>2684</v>
      </c>
      <c r="G70" s="0" t="s">
        <v>2828</v>
      </c>
    </row>
    <row customHeight="1" ht="11.25">
      <c r="A71" s="373" t="s">
        <v>14</v>
      </c>
      <c r="B71" s="0" t="s">
        <v>2800</v>
      </c>
      <c r="C71" s="0" t="s">
        <v>2801</v>
      </c>
      <c r="D71" s="0" t="s">
        <v>2829</v>
      </c>
      <c r="E71" s="0" t="s">
        <v>2830</v>
      </c>
      <c r="F71" s="0" t="s">
        <v>2684</v>
      </c>
      <c r="G71" s="0" t="s">
        <v>2831</v>
      </c>
    </row>
    <row customHeight="1" ht="11.25">
      <c r="A72" s="373" t="s">
        <v>14</v>
      </c>
      <c r="B72" s="0" t="s">
        <v>2800</v>
      </c>
      <c r="C72" s="0" t="s">
        <v>2801</v>
      </c>
      <c r="D72" s="0" t="s">
        <v>2832</v>
      </c>
      <c r="E72" s="0" t="s">
        <v>2833</v>
      </c>
      <c r="F72" s="0" t="s">
        <v>2684</v>
      </c>
      <c r="G72" s="0" t="s">
        <v>2834</v>
      </c>
    </row>
    <row customHeight="1" ht="11.25">
      <c r="A73" s="373" t="s">
        <v>14</v>
      </c>
      <c r="B73" s="0" t="s">
        <v>2800</v>
      </c>
      <c r="C73" s="0" t="s">
        <v>2801</v>
      </c>
      <c r="D73" s="0" t="s">
        <v>2835</v>
      </c>
      <c r="E73" s="0" t="s">
        <v>2836</v>
      </c>
      <c r="F73" s="0" t="s">
        <v>2684</v>
      </c>
      <c r="G73" s="0" t="s">
        <v>2837</v>
      </c>
    </row>
    <row customHeight="1" ht="11.25">
      <c r="A74" s="373" t="s">
        <v>14</v>
      </c>
      <c r="B74" s="0" t="s">
        <v>2800</v>
      </c>
      <c r="C74" s="0" t="s">
        <v>2801</v>
      </c>
      <c r="D74" s="0" t="s">
        <v>2838</v>
      </c>
      <c r="E74" s="0" t="s">
        <v>2839</v>
      </c>
      <c r="F74" s="0" t="s">
        <v>2684</v>
      </c>
      <c r="G74" s="0" t="s">
        <v>2840</v>
      </c>
    </row>
    <row customHeight="1" ht="11.25">
      <c r="A75" s="373" t="s">
        <v>14</v>
      </c>
      <c r="B75" s="0" t="s">
        <v>2800</v>
      </c>
      <c r="C75" s="0" t="s">
        <v>2801</v>
      </c>
      <c r="D75" s="0" t="s">
        <v>2841</v>
      </c>
      <c r="E75" s="0" t="s">
        <v>2842</v>
      </c>
      <c r="F75" s="0" t="s">
        <v>2684</v>
      </c>
      <c r="G75" s="0" t="s">
        <v>2843</v>
      </c>
    </row>
    <row customHeight="1" ht="11.25">
      <c r="A76" s="373" t="s">
        <v>14</v>
      </c>
      <c r="B76" s="0" t="s">
        <v>2800</v>
      </c>
      <c r="C76" s="0" t="s">
        <v>2801</v>
      </c>
      <c r="D76" s="0" t="s">
        <v>2844</v>
      </c>
      <c r="E76" s="0" t="s">
        <v>2845</v>
      </c>
      <c r="F76" s="0" t="s">
        <v>2684</v>
      </c>
      <c r="G76" s="0" t="s">
        <v>2846</v>
      </c>
    </row>
    <row customHeight="1" ht="11.25">
      <c r="A77" s="373" t="s">
        <v>14</v>
      </c>
      <c r="B77" s="0" t="s">
        <v>2800</v>
      </c>
      <c r="C77" s="0" t="s">
        <v>2801</v>
      </c>
      <c r="D77" s="0" t="s">
        <v>2847</v>
      </c>
      <c r="E77" s="0" t="s">
        <v>2848</v>
      </c>
      <c r="F77" s="0" t="s">
        <v>2684</v>
      </c>
      <c r="G77" s="0" t="s">
        <v>2849</v>
      </c>
    </row>
    <row customHeight="1" ht="11.25">
      <c r="A78" s="373" t="s">
        <v>14</v>
      </c>
      <c r="B78" s="0" t="s">
        <v>2800</v>
      </c>
      <c r="C78" s="0" t="s">
        <v>2801</v>
      </c>
      <c r="D78" s="0" t="s">
        <v>2850</v>
      </c>
      <c r="E78" s="0" t="s">
        <v>2851</v>
      </c>
      <c r="F78" s="0" t="s">
        <v>2684</v>
      </c>
      <c r="G78" s="0" t="s">
        <v>2852</v>
      </c>
    </row>
    <row customHeight="1" ht="11.25">
      <c r="A79" s="373" t="s">
        <v>14</v>
      </c>
      <c r="B79" s="0" t="s">
        <v>2800</v>
      </c>
      <c r="C79" s="0" t="s">
        <v>2801</v>
      </c>
      <c r="D79" s="0" t="s">
        <v>2853</v>
      </c>
      <c r="E79" s="0" t="s">
        <v>2854</v>
      </c>
      <c r="F79" s="0" t="s">
        <v>2684</v>
      </c>
      <c r="G79" s="0" t="s">
        <v>2855</v>
      </c>
    </row>
    <row customHeight="1" ht="11.25">
      <c r="A80" s="373" t="s">
        <v>14</v>
      </c>
      <c r="B80" s="0" t="s">
        <v>2800</v>
      </c>
      <c r="C80" s="0" t="s">
        <v>2801</v>
      </c>
      <c r="D80" s="0" t="s">
        <v>2856</v>
      </c>
      <c r="E80" s="0" t="s">
        <v>2857</v>
      </c>
      <c r="F80" s="0" t="s">
        <v>2700</v>
      </c>
      <c r="G80" s="0" t="s">
        <v>2858</v>
      </c>
    </row>
    <row customHeight="1" ht="11.25">
      <c r="A81" s="373" t="s">
        <v>14</v>
      </c>
      <c r="B81" s="0" t="s">
        <v>2800</v>
      </c>
      <c r="C81" s="0" t="s">
        <v>2801</v>
      </c>
      <c r="D81" s="0" t="s">
        <v>2859</v>
      </c>
      <c r="E81" s="0" t="s">
        <v>2860</v>
      </c>
      <c r="F81" s="0" t="s">
        <v>2700</v>
      </c>
      <c r="G81" s="0" t="s">
        <v>2861</v>
      </c>
    </row>
    <row customHeight="1" ht="11.25">
      <c r="A82" s="373" t="s">
        <v>14</v>
      </c>
      <c r="B82" s="0" t="s">
        <v>2862</v>
      </c>
      <c r="C82" s="0" t="s">
        <v>2863</v>
      </c>
      <c r="D82" s="0" t="s">
        <v>2864</v>
      </c>
      <c r="E82" s="0" t="s">
        <v>2865</v>
      </c>
      <c r="F82" s="0" t="s">
        <v>2684</v>
      </c>
      <c r="G82" s="0" t="s">
        <v>2866</v>
      </c>
    </row>
    <row customHeight="1" ht="11.25">
      <c r="A83" s="373" t="s">
        <v>14</v>
      </c>
      <c r="B83" s="0" t="s">
        <v>2862</v>
      </c>
      <c r="C83" s="0" t="s">
        <v>2863</v>
      </c>
      <c r="D83" s="0" t="s">
        <v>2867</v>
      </c>
      <c r="E83" s="0" t="s">
        <v>2868</v>
      </c>
      <c r="F83" s="0" t="s">
        <v>2684</v>
      </c>
      <c r="G83" s="0" t="s">
        <v>2869</v>
      </c>
    </row>
    <row customHeight="1" ht="11.25">
      <c r="A84" s="373" t="s">
        <v>14</v>
      </c>
      <c r="B84" s="0" t="s">
        <v>2862</v>
      </c>
      <c r="C84" s="0" t="s">
        <v>2863</v>
      </c>
      <c r="D84" s="0" t="s">
        <v>2870</v>
      </c>
      <c r="E84" s="0" t="s">
        <v>2871</v>
      </c>
      <c r="F84" s="0" t="s">
        <v>2684</v>
      </c>
      <c r="G84" s="0" t="s">
        <v>2872</v>
      </c>
    </row>
    <row customHeight="1" ht="11.25">
      <c r="A85" s="373" t="s">
        <v>14</v>
      </c>
      <c r="B85" s="0" t="s">
        <v>2862</v>
      </c>
      <c r="C85" s="0" t="s">
        <v>2863</v>
      </c>
      <c r="D85" s="0" t="s">
        <v>2862</v>
      </c>
      <c r="E85" s="0" t="s">
        <v>2863</v>
      </c>
      <c r="F85" s="0" t="s">
        <v>2685</v>
      </c>
      <c r="G85" s="0" t="s">
        <v>2873</v>
      </c>
    </row>
    <row customHeight="1" ht="11.25">
      <c r="A86" s="373" t="s">
        <v>14</v>
      </c>
      <c r="B86" s="0" t="s">
        <v>2862</v>
      </c>
      <c r="C86" s="0" t="s">
        <v>2863</v>
      </c>
      <c r="D86" s="0" t="s">
        <v>2874</v>
      </c>
      <c r="E86" s="0" t="s">
        <v>2875</v>
      </c>
      <c r="F86" s="0" t="s">
        <v>2684</v>
      </c>
      <c r="G86" s="0" t="s">
        <v>2876</v>
      </c>
    </row>
    <row customHeight="1" ht="11.25">
      <c r="A87" s="373" t="s">
        <v>14</v>
      </c>
      <c r="B87" s="0" t="s">
        <v>2862</v>
      </c>
      <c r="C87" s="0" t="s">
        <v>2863</v>
      </c>
      <c r="D87" s="0" t="s">
        <v>2877</v>
      </c>
      <c r="E87" s="0" t="s">
        <v>2878</v>
      </c>
      <c r="F87" s="0" t="s">
        <v>2684</v>
      </c>
      <c r="G87" s="0" t="s">
        <v>2879</v>
      </c>
    </row>
    <row customHeight="1" ht="11.25">
      <c r="A88" s="373" t="s">
        <v>14</v>
      </c>
      <c r="B88" s="0" t="s">
        <v>2862</v>
      </c>
      <c r="C88" s="0" t="s">
        <v>2863</v>
      </c>
      <c r="D88" s="0" t="s">
        <v>2880</v>
      </c>
      <c r="E88" s="0" t="s">
        <v>2881</v>
      </c>
      <c r="F88" s="0" t="s">
        <v>2684</v>
      </c>
      <c r="G88" s="0" t="s">
        <v>2882</v>
      </c>
    </row>
    <row customHeight="1" ht="11.25">
      <c r="A89" s="373" t="s">
        <v>14</v>
      </c>
      <c r="B89" s="0" t="s">
        <v>2862</v>
      </c>
      <c r="C89" s="0" t="s">
        <v>2863</v>
      </c>
      <c r="D89" s="0" t="s">
        <v>2883</v>
      </c>
      <c r="E89" s="0" t="s">
        <v>2884</v>
      </c>
      <c r="F89" s="0" t="s">
        <v>2684</v>
      </c>
      <c r="G89" s="0" t="s">
        <v>2885</v>
      </c>
    </row>
    <row customHeight="1" ht="11.25">
      <c r="A90" s="373" t="s">
        <v>14</v>
      </c>
      <c r="B90" s="0" t="s">
        <v>2862</v>
      </c>
      <c r="C90" s="0" t="s">
        <v>2863</v>
      </c>
      <c r="D90" s="0" t="s">
        <v>2886</v>
      </c>
      <c r="E90" s="0" t="s">
        <v>2887</v>
      </c>
      <c r="F90" s="0" t="s">
        <v>2684</v>
      </c>
      <c r="G90" s="0" t="s">
        <v>2888</v>
      </c>
    </row>
    <row customHeight="1" ht="11.25">
      <c r="A91" s="373" t="s">
        <v>14</v>
      </c>
      <c r="B91" s="0" t="s">
        <v>2862</v>
      </c>
      <c r="C91" s="0" t="s">
        <v>2863</v>
      </c>
      <c r="D91" s="0" t="s">
        <v>2889</v>
      </c>
      <c r="E91" s="0" t="s">
        <v>2890</v>
      </c>
      <c r="F91" s="0" t="s">
        <v>2684</v>
      </c>
      <c r="G91" s="0" t="s">
        <v>2891</v>
      </c>
    </row>
    <row customHeight="1" ht="11.25">
      <c r="A92" s="373" t="s">
        <v>14</v>
      </c>
      <c r="B92" s="0" t="s">
        <v>2862</v>
      </c>
      <c r="C92" s="0" t="s">
        <v>2863</v>
      </c>
      <c r="D92" s="0" t="s">
        <v>2892</v>
      </c>
      <c r="E92" s="0" t="s">
        <v>2893</v>
      </c>
      <c r="F92" s="0" t="s">
        <v>2700</v>
      </c>
      <c r="G92" s="0" t="s">
        <v>2894</v>
      </c>
    </row>
    <row customHeight="1" ht="11.25">
      <c r="A93" s="373" t="s">
        <v>14</v>
      </c>
      <c r="B93" s="0" t="s">
        <v>2895</v>
      </c>
      <c r="C93" s="0" t="s">
        <v>2896</v>
      </c>
      <c r="D93" s="0" t="s">
        <v>2897</v>
      </c>
      <c r="E93" s="0" t="s">
        <v>2898</v>
      </c>
      <c r="F93" s="0" t="s">
        <v>2684</v>
      </c>
      <c r="G93" s="0" t="s">
        <v>2899</v>
      </c>
    </row>
    <row customHeight="1" ht="11.25">
      <c r="A94" s="373" t="s">
        <v>14</v>
      </c>
      <c r="B94" s="0" t="s">
        <v>2895</v>
      </c>
      <c r="C94" s="0" t="s">
        <v>2896</v>
      </c>
      <c r="D94" s="0" t="s">
        <v>2895</v>
      </c>
      <c r="E94" s="0" t="s">
        <v>2896</v>
      </c>
      <c r="F94" s="0" t="s">
        <v>2685</v>
      </c>
      <c r="G94" s="0" t="s">
        <v>2900</v>
      </c>
    </row>
    <row customHeight="1" ht="11.25">
      <c r="A95" s="373" t="s">
        <v>14</v>
      </c>
      <c r="B95" s="0" t="s">
        <v>2895</v>
      </c>
      <c r="C95" s="0" t="s">
        <v>2896</v>
      </c>
      <c r="D95" s="0" t="s">
        <v>2901</v>
      </c>
      <c r="E95" s="0" t="s">
        <v>2902</v>
      </c>
      <c r="F95" s="0" t="s">
        <v>2684</v>
      </c>
      <c r="G95" s="0" t="s">
        <v>2903</v>
      </c>
    </row>
    <row customHeight="1" ht="11.25">
      <c r="A96" s="373" t="s">
        <v>14</v>
      </c>
      <c r="B96" s="0" t="s">
        <v>2895</v>
      </c>
      <c r="C96" s="0" t="s">
        <v>2896</v>
      </c>
      <c r="D96" s="0" t="s">
        <v>2904</v>
      </c>
      <c r="E96" s="0" t="s">
        <v>2905</v>
      </c>
      <c r="F96" s="0" t="s">
        <v>2684</v>
      </c>
      <c r="G96" s="0" t="s">
        <v>2906</v>
      </c>
    </row>
    <row customHeight="1" ht="11.25">
      <c r="A97" s="373" t="s">
        <v>14</v>
      </c>
      <c r="B97" s="0" t="s">
        <v>2895</v>
      </c>
      <c r="C97" s="0" t="s">
        <v>2896</v>
      </c>
      <c r="D97" s="0" t="s">
        <v>2907</v>
      </c>
      <c r="E97" s="0" t="s">
        <v>2908</v>
      </c>
      <c r="F97" s="0" t="s">
        <v>2684</v>
      </c>
      <c r="G97" s="0" t="s">
        <v>2909</v>
      </c>
    </row>
    <row customHeight="1" ht="11.25">
      <c r="A98" s="373" t="s">
        <v>14</v>
      </c>
      <c r="B98" s="0" t="s">
        <v>2895</v>
      </c>
      <c r="C98" s="0" t="s">
        <v>2896</v>
      </c>
      <c r="D98" s="0" t="s">
        <v>2910</v>
      </c>
      <c r="E98" s="0" t="s">
        <v>2911</v>
      </c>
      <c r="F98" s="0" t="s">
        <v>2700</v>
      </c>
      <c r="G98" s="0" t="s">
        <v>2912</v>
      </c>
    </row>
    <row customHeight="1" ht="11.25">
      <c r="A99" s="373" t="s">
        <v>14</v>
      </c>
      <c r="B99" s="0" t="s">
        <v>2913</v>
      </c>
      <c r="C99" s="0" t="s">
        <v>2914</v>
      </c>
      <c r="D99" s="0" t="s">
        <v>2915</v>
      </c>
      <c r="E99" s="0" t="s">
        <v>2916</v>
      </c>
      <c r="F99" s="0" t="s">
        <v>2684</v>
      </c>
      <c r="G99" s="0" t="s">
        <v>2917</v>
      </c>
    </row>
    <row customHeight="1" ht="11.25">
      <c r="A100" s="373" t="s">
        <v>14</v>
      </c>
      <c r="B100" s="0" t="s">
        <v>2913</v>
      </c>
      <c r="C100" s="0" t="s">
        <v>2914</v>
      </c>
      <c r="D100" s="0" t="s">
        <v>2918</v>
      </c>
      <c r="E100" s="0" t="s">
        <v>2919</v>
      </c>
      <c r="F100" s="0" t="s">
        <v>2684</v>
      </c>
      <c r="G100" s="0" t="s">
        <v>2920</v>
      </c>
    </row>
    <row customHeight="1" ht="11.25">
      <c r="A101" s="373" t="s">
        <v>14</v>
      </c>
      <c r="B101" s="0" t="s">
        <v>2913</v>
      </c>
      <c r="C101" s="0" t="s">
        <v>2914</v>
      </c>
      <c r="D101" s="0" t="s">
        <v>2921</v>
      </c>
      <c r="E101" s="0" t="s">
        <v>2922</v>
      </c>
      <c r="F101" s="0" t="s">
        <v>2684</v>
      </c>
      <c r="G101" s="0" t="s">
        <v>2923</v>
      </c>
    </row>
    <row customHeight="1" ht="11.25">
      <c r="A102" s="373" t="s">
        <v>14</v>
      </c>
      <c r="B102" s="0" t="s">
        <v>2913</v>
      </c>
      <c r="C102" s="0" t="s">
        <v>2914</v>
      </c>
      <c r="D102" s="0" t="s">
        <v>2924</v>
      </c>
      <c r="E102" s="0" t="s">
        <v>2925</v>
      </c>
      <c r="F102" s="0" t="s">
        <v>2684</v>
      </c>
      <c r="G102" s="0" t="s">
        <v>2926</v>
      </c>
    </row>
    <row customHeight="1" ht="11.25">
      <c r="A103" s="373" t="s">
        <v>14</v>
      </c>
      <c r="B103" s="0" t="s">
        <v>2913</v>
      </c>
      <c r="C103" s="0" t="s">
        <v>2914</v>
      </c>
      <c r="D103" s="0" t="s">
        <v>2927</v>
      </c>
      <c r="E103" s="0" t="s">
        <v>2928</v>
      </c>
      <c r="F103" s="0" t="s">
        <v>2684</v>
      </c>
      <c r="G103" s="0" t="s">
        <v>2929</v>
      </c>
    </row>
    <row customHeight="1" ht="11.25">
      <c r="A104" s="373" t="s">
        <v>14</v>
      </c>
      <c r="B104" s="0" t="s">
        <v>2913</v>
      </c>
      <c r="C104" s="0" t="s">
        <v>2914</v>
      </c>
      <c r="D104" s="0" t="s">
        <v>2913</v>
      </c>
      <c r="E104" s="0" t="s">
        <v>2914</v>
      </c>
      <c r="F104" s="0" t="s">
        <v>2685</v>
      </c>
      <c r="G104" s="0" t="s">
        <v>2930</v>
      </c>
    </row>
    <row customHeight="1" ht="11.25">
      <c r="A105" s="373" t="s">
        <v>14</v>
      </c>
      <c r="B105" s="0" t="s">
        <v>2913</v>
      </c>
      <c r="C105" s="0" t="s">
        <v>2914</v>
      </c>
      <c r="D105" s="0" t="s">
        <v>2931</v>
      </c>
      <c r="E105" s="0" t="s">
        <v>2932</v>
      </c>
      <c r="F105" s="0" t="s">
        <v>2684</v>
      </c>
      <c r="G105" s="0" t="s">
        <v>2933</v>
      </c>
    </row>
    <row customHeight="1" ht="11.25">
      <c r="A106" s="373" t="s">
        <v>14</v>
      </c>
      <c r="B106" s="0" t="s">
        <v>2913</v>
      </c>
      <c r="C106" s="0" t="s">
        <v>2914</v>
      </c>
      <c r="D106" s="0" t="s">
        <v>2934</v>
      </c>
      <c r="E106" s="0" t="s">
        <v>2935</v>
      </c>
      <c r="F106" s="0" t="s">
        <v>2684</v>
      </c>
      <c r="G106" s="0" t="s">
        <v>2936</v>
      </c>
    </row>
    <row customHeight="1" ht="11.25">
      <c r="A107" s="373" t="s">
        <v>14</v>
      </c>
      <c r="B107" s="0" t="s">
        <v>2913</v>
      </c>
      <c r="C107" s="0" t="s">
        <v>2914</v>
      </c>
      <c r="D107" s="0" t="s">
        <v>2937</v>
      </c>
      <c r="E107" s="0" t="s">
        <v>2938</v>
      </c>
      <c r="F107" s="0" t="s">
        <v>2684</v>
      </c>
      <c r="G107" s="0" t="s">
        <v>2939</v>
      </c>
    </row>
    <row customHeight="1" ht="11.25">
      <c r="A108" s="373" t="s">
        <v>14</v>
      </c>
      <c r="B108" s="0" t="s">
        <v>2913</v>
      </c>
      <c r="C108" s="0" t="s">
        <v>2914</v>
      </c>
      <c r="D108" s="0" t="s">
        <v>2940</v>
      </c>
      <c r="E108" s="0" t="s">
        <v>2941</v>
      </c>
      <c r="F108" s="0" t="s">
        <v>2684</v>
      </c>
      <c r="G108" s="0" t="s">
        <v>2942</v>
      </c>
    </row>
    <row customHeight="1" ht="11.25">
      <c r="A109" s="373" t="s">
        <v>14</v>
      </c>
      <c r="B109" s="0" t="s">
        <v>2913</v>
      </c>
      <c r="C109" s="0" t="s">
        <v>2914</v>
      </c>
      <c r="D109" s="0" t="s">
        <v>2943</v>
      </c>
      <c r="E109" s="0" t="s">
        <v>2944</v>
      </c>
      <c r="F109" s="0" t="s">
        <v>2684</v>
      </c>
      <c r="G109" s="0" t="s">
        <v>2945</v>
      </c>
    </row>
    <row customHeight="1" ht="11.25">
      <c r="A110" s="373" t="s">
        <v>14</v>
      </c>
      <c r="B110" s="0" t="s">
        <v>2913</v>
      </c>
      <c r="C110" s="0" t="s">
        <v>2914</v>
      </c>
      <c r="D110" s="0" t="s">
        <v>2946</v>
      </c>
      <c r="E110" s="0" t="s">
        <v>2947</v>
      </c>
      <c r="F110" s="0" t="s">
        <v>2700</v>
      </c>
      <c r="G110" s="0" t="s">
        <v>2948</v>
      </c>
    </row>
    <row customHeight="1" ht="11.25">
      <c r="A111" s="373" t="s">
        <v>14</v>
      </c>
      <c r="B111" s="0" t="s">
        <v>2949</v>
      </c>
      <c r="C111" s="0" t="s">
        <v>2950</v>
      </c>
      <c r="D111" s="0" t="s">
        <v>2951</v>
      </c>
      <c r="E111" s="0" t="s">
        <v>2952</v>
      </c>
      <c r="F111" s="0" t="s">
        <v>2684</v>
      </c>
      <c r="G111" s="0" t="s">
        <v>2953</v>
      </c>
    </row>
    <row customHeight="1" ht="11.25">
      <c r="A112" s="373" t="s">
        <v>14</v>
      </c>
      <c r="B112" s="0" t="s">
        <v>2949</v>
      </c>
      <c r="C112" s="0" t="s">
        <v>2950</v>
      </c>
      <c r="D112" s="0" t="s">
        <v>2954</v>
      </c>
      <c r="E112" s="0" t="s">
        <v>2955</v>
      </c>
      <c r="F112" s="0" t="s">
        <v>2684</v>
      </c>
      <c r="G112" s="0" t="s">
        <v>2956</v>
      </c>
    </row>
    <row customHeight="1" ht="11.25">
      <c r="A113" s="373" t="s">
        <v>14</v>
      </c>
      <c r="B113" s="0" t="s">
        <v>2949</v>
      </c>
      <c r="C113" s="0" t="s">
        <v>2950</v>
      </c>
      <c r="D113" s="0" t="s">
        <v>2957</v>
      </c>
      <c r="E113" s="0" t="s">
        <v>2958</v>
      </c>
      <c r="F113" s="0" t="s">
        <v>2684</v>
      </c>
      <c r="G113" s="0" t="s">
        <v>2959</v>
      </c>
    </row>
    <row customHeight="1" ht="11.25">
      <c r="A114" s="373" t="s">
        <v>14</v>
      </c>
      <c r="B114" s="0" t="s">
        <v>2949</v>
      </c>
      <c r="C114" s="0" t="s">
        <v>2950</v>
      </c>
      <c r="D114" s="0" t="s">
        <v>2960</v>
      </c>
      <c r="E114" s="0" t="s">
        <v>2961</v>
      </c>
      <c r="F114" s="0" t="s">
        <v>2684</v>
      </c>
      <c r="G114" s="0" t="s">
        <v>2962</v>
      </c>
    </row>
    <row customHeight="1" ht="11.25">
      <c r="A115" s="373" t="s">
        <v>14</v>
      </c>
      <c r="B115" s="0" t="s">
        <v>2949</v>
      </c>
      <c r="C115" s="0" t="s">
        <v>2950</v>
      </c>
      <c r="D115" s="0" t="s">
        <v>2963</v>
      </c>
      <c r="E115" s="0" t="s">
        <v>2964</v>
      </c>
      <c r="F115" s="0" t="s">
        <v>2684</v>
      </c>
      <c r="G115" s="0" t="s">
        <v>2965</v>
      </c>
    </row>
    <row customHeight="1" ht="11.25">
      <c r="A116" s="373" t="s">
        <v>14</v>
      </c>
      <c r="B116" s="0" t="s">
        <v>2949</v>
      </c>
      <c r="C116" s="0" t="s">
        <v>2950</v>
      </c>
      <c r="D116" s="0" t="s">
        <v>2949</v>
      </c>
      <c r="E116" s="0" t="s">
        <v>2950</v>
      </c>
      <c r="F116" s="0" t="s">
        <v>2685</v>
      </c>
      <c r="G116" s="0" t="s">
        <v>2966</v>
      </c>
    </row>
    <row customHeight="1" ht="11.25">
      <c r="A117" s="373" t="s">
        <v>14</v>
      </c>
      <c r="B117" s="0" t="s">
        <v>2949</v>
      </c>
      <c r="C117" s="0" t="s">
        <v>2950</v>
      </c>
      <c r="D117" s="0" t="s">
        <v>2967</v>
      </c>
      <c r="E117" s="0" t="s">
        <v>2968</v>
      </c>
      <c r="F117" s="0" t="s">
        <v>2684</v>
      </c>
      <c r="G117" s="0" t="s">
        <v>2969</v>
      </c>
    </row>
    <row customHeight="1" ht="11.25">
      <c r="A118" s="373" t="s">
        <v>14</v>
      </c>
      <c r="B118" s="0" t="s">
        <v>2949</v>
      </c>
      <c r="C118" s="0" t="s">
        <v>2950</v>
      </c>
      <c r="D118" s="0" t="s">
        <v>2970</v>
      </c>
      <c r="E118" s="0" t="s">
        <v>2971</v>
      </c>
      <c r="F118" s="0" t="s">
        <v>2684</v>
      </c>
      <c r="G118" s="0" t="s">
        <v>2972</v>
      </c>
    </row>
    <row customHeight="1" ht="11.25">
      <c r="A119" s="373" t="s">
        <v>14</v>
      </c>
      <c r="B119" s="0" t="s">
        <v>2949</v>
      </c>
      <c r="C119" s="0" t="s">
        <v>2950</v>
      </c>
      <c r="D119" s="0" t="s">
        <v>2973</v>
      </c>
      <c r="E119" s="0" t="s">
        <v>2974</v>
      </c>
      <c r="F119" s="0" t="s">
        <v>2684</v>
      </c>
      <c r="G119" s="0" t="s">
        <v>2975</v>
      </c>
    </row>
    <row customHeight="1" ht="11.25">
      <c r="A120" s="373" t="s">
        <v>14</v>
      </c>
      <c r="B120" s="0" t="s">
        <v>2949</v>
      </c>
      <c r="C120" s="0" t="s">
        <v>2950</v>
      </c>
      <c r="D120" s="0" t="s">
        <v>2976</v>
      </c>
      <c r="E120" s="0" t="s">
        <v>2977</v>
      </c>
      <c r="F120" s="0" t="s">
        <v>2700</v>
      </c>
      <c r="G120" s="0" t="s">
        <v>2978</v>
      </c>
    </row>
    <row customHeight="1" ht="11.25">
      <c r="A121" s="373" t="s">
        <v>14</v>
      </c>
      <c r="B121" s="0" t="s">
        <v>2979</v>
      </c>
      <c r="C121" s="0" t="s">
        <v>2980</v>
      </c>
      <c r="D121" s="0" t="s">
        <v>2981</v>
      </c>
      <c r="E121" s="0" t="s">
        <v>2982</v>
      </c>
      <c r="F121" s="0" t="s">
        <v>2684</v>
      </c>
      <c r="G121" s="0" t="s">
        <v>2983</v>
      </c>
    </row>
    <row customHeight="1" ht="11.25">
      <c r="A122" s="373" t="s">
        <v>14</v>
      </c>
      <c r="B122" s="0" t="s">
        <v>2979</v>
      </c>
      <c r="C122" s="0" t="s">
        <v>2980</v>
      </c>
      <c r="D122" s="0" t="s">
        <v>2984</v>
      </c>
      <c r="E122" s="0" t="s">
        <v>2985</v>
      </c>
      <c r="F122" s="0" t="s">
        <v>2684</v>
      </c>
      <c r="G122" s="0" t="s">
        <v>2986</v>
      </c>
    </row>
    <row customHeight="1" ht="11.25">
      <c r="A123" s="373" t="s">
        <v>14</v>
      </c>
      <c r="B123" s="0" t="s">
        <v>2979</v>
      </c>
      <c r="C123" s="0" t="s">
        <v>2980</v>
      </c>
      <c r="D123" s="0" t="s">
        <v>2987</v>
      </c>
      <c r="E123" s="0" t="s">
        <v>2988</v>
      </c>
      <c r="F123" s="0" t="s">
        <v>2684</v>
      </c>
      <c r="G123" s="0" t="s">
        <v>2989</v>
      </c>
    </row>
    <row customHeight="1" ht="11.25">
      <c r="A124" s="373" t="s">
        <v>14</v>
      </c>
      <c r="B124" s="0" t="s">
        <v>2979</v>
      </c>
      <c r="C124" s="0" t="s">
        <v>2980</v>
      </c>
      <c r="D124" s="0" t="s">
        <v>2990</v>
      </c>
      <c r="E124" s="0" t="s">
        <v>2991</v>
      </c>
      <c r="F124" s="0" t="s">
        <v>2684</v>
      </c>
      <c r="G124" s="0" t="s">
        <v>2992</v>
      </c>
    </row>
    <row customHeight="1" ht="11.25">
      <c r="A125" s="373" t="s">
        <v>14</v>
      </c>
      <c r="B125" s="0" t="s">
        <v>2979</v>
      </c>
      <c r="C125" s="0" t="s">
        <v>2980</v>
      </c>
      <c r="D125" s="0" t="s">
        <v>2993</v>
      </c>
      <c r="E125" s="0" t="s">
        <v>2994</v>
      </c>
      <c r="F125" s="0" t="s">
        <v>2684</v>
      </c>
      <c r="G125" s="0" t="s">
        <v>2995</v>
      </c>
    </row>
    <row customHeight="1" ht="11.25">
      <c r="A126" s="373" t="s">
        <v>14</v>
      </c>
      <c r="B126" s="0" t="s">
        <v>2979</v>
      </c>
      <c r="C126" s="0" t="s">
        <v>2980</v>
      </c>
      <c r="D126" s="0" t="s">
        <v>2996</v>
      </c>
      <c r="E126" s="0" t="s">
        <v>2997</v>
      </c>
      <c r="F126" s="0" t="s">
        <v>2684</v>
      </c>
      <c r="G126" s="0" t="s">
        <v>2998</v>
      </c>
    </row>
    <row customHeight="1" ht="11.25">
      <c r="A127" s="373" t="s">
        <v>14</v>
      </c>
      <c r="B127" s="0" t="s">
        <v>2979</v>
      </c>
      <c r="C127" s="0" t="s">
        <v>2980</v>
      </c>
      <c r="D127" s="0" t="s">
        <v>2999</v>
      </c>
      <c r="E127" s="0" t="s">
        <v>3000</v>
      </c>
      <c r="F127" s="0" t="s">
        <v>2684</v>
      </c>
      <c r="G127" s="0" t="s">
        <v>3001</v>
      </c>
    </row>
    <row customHeight="1" ht="11.25">
      <c r="A128" s="373" t="s">
        <v>14</v>
      </c>
      <c r="B128" s="0" t="s">
        <v>2979</v>
      </c>
      <c r="C128" s="0" t="s">
        <v>2980</v>
      </c>
      <c r="D128" s="0" t="s">
        <v>2979</v>
      </c>
      <c r="E128" s="0" t="s">
        <v>2980</v>
      </c>
      <c r="F128" s="0" t="s">
        <v>2685</v>
      </c>
      <c r="G128" s="0" t="s">
        <v>3002</v>
      </c>
    </row>
    <row customHeight="1" ht="11.25">
      <c r="A129" s="373" t="s">
        <v>14</v>
      </c>
      <c r="B129" s="0" t="s">
        <v>2979</v>
      </c>
      <c r="C129" s="0" t="s">
        <v>2980</v>
      </c>
      <c r="D129" s="0" t="s">
        <v>3003</v>
      </c>
      <c r="E129" s="0" t="s">
        <v>3004</v>
      </c>
      <c r="F129" s="0" t="s">
        <v>2684</v>
      </c>
      <c r="G129" s="0" t="s">
        <v>3005</v>
      </c>
    </row>
    <row customHeight="1" ht="11.25">
      <c r="A130" s="373" t="s">
        <v>14</v>
      </c>
      <c r="B130" s="0" t="s">
        <v>2979</v>
      </c>
      <c r="C130" s="0" t="s">
        <v>2980</v>
      </c>
      <c r="D130" s="0" t="s">
        <v>3006</v>
      </c>
      <c r="E130" s="0" t="s">
        <v>3007</v>
      </c>
      <c r="F130" s="0" t="s">
        <v>2700</v>
      </c>
      <c r="G130" s="0" t="s">
        <v>3008</v>
      </c>
    </row>
    <row customHeight="1" ht="11.25">
      <c r="A131" s="373" t="s">
        <v>14</v>
      </c>
      <c r="B131" s="0" t="s">
        <v>3009</v>
      </c>
      <c r="C131" s="0" t="s">
        <v>3010</v>
      </c>
      <c r="D131" s="0" t="s">
        <v>3011</v>
      </c>
      <c r="E131" s="0" t="s">
        <v>3012</v>
      </c>
      <c r="F131" s="0" t="s">
        <v>2684</v>
      </c>
      <c r="G131" s="0" t="s">
        <v>3013</v>
      </c>
    </row>
    <row customHeight="1" ht="11.25">
      <c r="A132" s="373" t="s">
        <v>14</v>
      </c>
      <c r="B132" s="0" t="s">
        <v>3009</v>
      </c>
      <c r="C132" s="0" t="s">
        <v>3010</v>
      </c>
      <c r="D132" s="0" t="s">
        <v>3014</v>
      </c>
      <c r="E132" s="0" t="s">
        <v>3015</v>
      </c>
      <c r="F132" s="0" t="s">
        <v>2684</v>
      </c>
      <c r="G132" s="0" t="s">
        <v>3016</v>
      </c>
    </row>
    <row customHeight="1" ht="11.25">
      <c r="A133" s="373" t="s">
        <v>14</v>
      </c>
      <c r="B133" s="0" t="s">
        <v>3009</v>
      </c>
      <c r="C133" s="0" t="s">
        <v>3010</v>
      </c>
      <c r="D133" s="0" t="s">
        <v>3017</v>
      </c>
      <c r="E133" s="0" t="s">
        <v>3018</v>
      </c>
      <c r="F133" s="0" t="s">
        <v>2684</v>
      </c>
      <c r="G133" s="0" t="s">
        <v>3019</v>
      </c>
    </row>
    <row customHeight="1" ht="11.25">
      <c r="A134" s="373" t="s">
        <v>14</v>
      </c>
      <c r="B134" s="0" t="s">
        <v>3009</v>
      </c>
      <c r="C134" s="0" t="s">
        <v>3010</v>
      </c>
      <c r="D134" s="0" t="s">
        <v>3020</v>
      </c>
      <c r="E134" s="0" t="s">
        <v>3021</v>
      </c>
      <c r="F134" s="0" t="s">
        <v>2684</v>
      </c>
      <c r="G134" s="0" t="s">
        <v>3022</v>
      </c>
    </row>
    <row customHeight="1" ht="11.25">
      <c r="A135" s="373" t="s">
        <v>14</v>
      </c>
      <c r="B135" s="0" t="s">
        <v>3009</v>
      </c>
      <c r="C135" s="0" t="s">
        <v>3010</v>
      </c>
      <c r="D135" s="0" t="s">
        <v>3023</v>
      </c>
      <c r="E135" s="0" t="s">
        <v>3024</v>
      </c>
      <c r="F135" s="0" t="s">
        <v>2684</v>
      </c>
      <c r="G135" s="0" t="s">
        <v>3025</v>
      </c>
    </row>
    <row customHeight="1" ht="11.25">
      <c r="A136" s="373" t="s">
        <v>14</v>
      </c>
      <c r="B136" s="0" t="s">
        <v>3009</v>
      </c>
      <c r="C136" s="0" t="s">
        <v>3010</v>
      </c>
      <c r="D136" s="0" t="s">
        <v>3026</v>
      </c>
      <c r="E136" s="0" t="s">
        <v>3027</v>
      </c>
      <c r="F136" s="0" t="s">
        <v>2684</v>
      </c>
      <c r="G136" s="0" t="s">
        <v>3028</v>
      </c>
    </row>
    <row customHeight="1" ht="11.25">
      <c r="A137" s="373" t="s">
        <v>14</v>
      </c>
      <c r="B137" s="0" t="s">
        <v>3009</v>
      </c>
      <c r="C137" s="0" t="s">
        <v>3010</v>
      </c>
      <c r="D137" s="0" t="s">
        <v>3009</v>
      </c>
      <c r="E137" s="0" t="s">
        <v>3010</v>
      </c>
      <c r="F137" s="0" t="s">
        <v>2685</v>
      </c>
      <c r="G137" s="0" t="s">
        <v>3029</v>
      </c>
    </row>
    <row customHeight="1" ht="11.25">
      <c r="A138" s="373" t="s">
        <v>14</v>
      </c>
      <c r="B138" s="0" t="s">
        <v>3009</v>
      </c>
      <c r="C138" s="0" t="s">
        <v>3010</v>
      </c>
      <c r="D138" s="0" t="s">
        <v>3030</v>
      </c>
      <c r="E138" s="0" t="s">
        <v>3031</v>
      </c>
      <c r="F138" s="0" t="s">
        <v>2684</v>
      </c>
      <c r="G138" s="0" t="s">
        <v>3032</v>
      </c>
    </row>
    <row customHeight="1" ht="11.25">
      <c r="A139" s="373" t="s">
        <v>14</v>
      </c>
      <c r="B139" s="0" t="s">
        <v>3009</v>
      </c>
      <c r="C139" s="0" t="s">
        <v>3010</v>
      </c>
      <c r="D139" s="0" t="s">
        <v>3033</v>
      </c>
      <c r="E139" s="0" t="s">
        <v>3034</v>
      </c>
      <c r="F139" s="0" t="s">
        <v>2700</v>
      </c>
      <c r="G139" s="0" t="s">
        <v>3035</v>
      </c>
    </row>
    <row customHeight="1" ht="11.25">
      <c r="A140" s="373" t="s">
        <v>14</v>
      </c>
      <c r="B140" s="0" t="s">
        <v>3036</v>
      </c>
      <c r="C140" s="0" t="s">
        <v>3037</v>
      </c>
      <c r="D140" s="0" t="s">
        <v>3038</v>
      </c>
      <c r="E140" s="0" t="s">
        <v>3039</v>
      </c>
      <c r="F140" s="0" t="s">
        <v>2684</v>
      </c>
      <c r="G140" s="0" t="s">
        <v>3040</v>
      </c>
    </row>
    <row customHeight="1" ht="11.25">
      <c r="A141" s="373" t="s">
        <v>14</v>
      </c>
      <c r="B141" s="0" t="s">
        <v>3036</v>
      </c>
      <c r="C141" s="0" t="s">
        <v>3037</v>
      </c>
      <c r="D141" s="0" t="s">
        <v>3041</v>
      </c>
      <c r="E141" s="0" t="s">
        <v>3042</v>
      </c>
      <c r="F141" s="0" t="s">
        <v>2684</v>
      </c>
      <c r="G141" s="0" t="s">
        <v>3043</v>
      </c>
    </row>
    <row customHeight="1" ht="11.25">
      <c r="A142" s="373" t="s">
        <v>14</v>
      </c>
      <c r="B142" s="0" t="s">
        <v>3036</v>
      </c>
      <c r="C142" s="0" t="s">
        <v>3037</v>
      </c>
      <c r="D142" s="0" t="s">
        <v>3044</v>
      </c>
      <c r="E142" s="0" t="s">
        <v>3045</v>
      </c>
      <c r="F142" s="0" t="s">
        <v>2684</v>
      </c>
      <c r="G142" s="0" t="s">
        <v>3046</v>
      </c>
    </row>
    <row customHeight="1" ht="11.25">
      <c r="A143" s="373" t="s">
        <v>14</v>
      </c>
      <c r="B143" s="0" t="s">
        <v>3036</v>
      </c>
      <c r="C143" s="0" t="s">
        <v>3037</v>
      </c>
      <c r="D143" s="0" t="s">
        <v>3047</v>
      </c>
      <c r="E143" s="0" t="s">
        <v>3048</v>
      </c>
      <c r="F143" s="0" t="s">
        <v>2684</v>
      </c>
      <c r="G143" s="0" t="s">
        <v>3049</v>
      </c>
    </row>
    <row customHeight="1" ht="11.25">
      <c r="A144" s="373" t="s">
        <v>14</v>
      </c>
      <c r="B144" s="0" t="s">
        <v>3036</v>
      </c>
      <c r="C144" s="0" t="s">
        <v>3037</v>
      </c>
      <c r="D144" s="0" t="s">
        <v>3050</v>
      </c>
      <c r="E144" s="0" t="s">
        <v>3051</v>
      </c>
      <c r="F144" s="0" t="s">
        <v>2684</v>
      </c>
      <c r="G144" s="0" t="s">
        <v>3052</v>
      </c>
    </row>
    <row customHeight="1" ht="11.25">
      <c r="A145" s="373" t="s">
        <v>14</v>
      </c>
      <c r="B145" s="0" t="s">
        <v>3036</v>
      </c>
      <c r="C145" s="0" t="s">
        <v>3037</v>
      </c>
      <c r="D145" s="0" t="s">
        <v>3036</v>
      </c>
      <c r="E145" s="0" t="s">
        <v>3037</v>
      </c>
      <c r="F145" s="0" t="s">
        <v>2685</v>
      </c>
      <c r="G145" s="0" t="s">
        <v>3053</v>
      </c>
    </row>
    <row customHeight="1" ht="11.25">
      <c r="A146" s="373" t="s">
        <v>14</v>
      </c>
      <c r="B146" s="0" t="s">
        <v>3036</v>
      </c>
      <c r="C146" s="0" t="s">
        <v>3037</v>
      </c>
      <c r="D146" s="0" t="s">
        <v>3054</v>
      </c>
      <c r="E146" s="0" t="s">
        <v>3055</v>
      </c>
      <c r="F146" s="0" t="s">
        <v>2684</v>
      </c>
      <c r="G146" s="0" t="s">
        <v>3056</v>
      </c>
    </row>
    <row customHeight="1" ht="11.25">
      <c r="A147" s="373" t="s">
        <v>14</v>
      </c>
      <c r="B147" s="0" t="s">
        <v>3036</v>
      </c>
      <c r="C147" s="0" t="s">
        <v>3037</v>
      </c>
      <c r="D147" s="0" t="s">
        <v>3057</v>
      </c>
      <c r="E147" s="0" t="s">
        <v>3058</v>
      </c>
      <c r="F147" s="0" t="s">
        <v>2700</v>
      </c>
      <c r="G147" s="0" t="s">
        <v>3059</v>
      </c>
    </row>
    <row customHeight="1" ht="11.25">
      <c r="A148" s="373" t="s">
        <v>14</v>
      </c>
      <c r="B148" s="0" t="s">
        <v>3060</v>
      </c>
      <c r="C148" s="0" t="s">
        <v>3061</v>
      </c>
      <c r="D148" s="0" t="s">
        <v>3060</v>
      </c>
      <c r="E148" s="0" t="s">
        <v>3061</v>
      </c>
      <c r="F148" s="0" t="s">
        <v>3062</v>
      </c>
      <c r="G148" s="0" t="s">
        <v>3063</v>
      </c>
    </row>
    <row customHeight="1" ht="11.25">
      <c r="A149" s="373" t="s">
        <v>14</v>
      </c>
      <c r="B149" s="0" t="s">
        <v>98</v>
      </c>
      <c r="C149" s="0" t="s">
        <v>99</v>
      </c>
      <c r="D149" s="0" t="s">
        <v>98</v>
      </c>
      <c r="E149" s="0" t="s">
        <v>99</v>
      </c>
      <c r="F149" s="0" t="s">
        <v>3062</v>
      </c>
      <c r="G149" s="0" t="s">
        <v>97</v>
      </c>
    </row>
    <row customHeight="1" ht="11.25">
      <c r="A150" s="373" t="s">
        <v>14</v>
      </c>
      <c r="B150" s="0" t="s">
        <v>3064</v>
      </c>
      <c r="C150" s="0" t="s">
        <v>3065</v>
      </c>
      <c r="D150" s="0" t="s">
        <v>3064</v>
      </c>
      <c r="E150" s="0" t="s">
        <v>3065</v>
      </c>
      <c r="F150" s="0" t="s">
        <v>3062</v>
      </c>
      <c r="G150" s="0" t="s">
        <v>3066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E465D-A746-BEDD-19E1-D2D7FF285E7D}"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5911" width="9.140625"/>
  </cols>
  <sheetData>
    <row customHeight="1" ht="11.25">
      <c r="A1" s="841" t="s">
        <v>3067</v>
      </c>
      <c r="B1" s="841" t="s">
        <v>3068</v>
      </c>
      <c r="C1" s="841" t="s">
        <v>3069</v>
      </c>
      <c r="D1" s="841" t="s">
        <v>3070</v>
      </c>
    </row>
    <row customHeight="1" ht="11.25">
      <c r="A2" s="5912" t="s">
        <v>107</v>
      </c>
      <c r="B2" s="5912" t="s">
        <v>3071</v>
      </c>
      <c r="C2" s="5912" t="s">
        <v>3072</v>
      </c>
      <c r="D2" s="5912" t="s">
        <v>3073</v>
      </c>
    </row>
    <row customHeight="1" ht="11.25">
      <c r="A3" s="5912" t="s">
        <v>108</v>
      </c>
      <c r="B3" s="5912" t="s">
        <v>3074</v>
      </c>
      <c r="C3" s="5912" t="s">
        <v>3075</v>
      </c>
      <c r="D3" s="5912" t="s">
        <v>3076</v>
      </c>
    </row>
    <row customHeight="1" ht="11.25">
      <c r="A4" s="5912" t="s">
        <v>88</v>
      </c>
      <c r="B4" s="5912" t="s">
        <v>3077</v>
      </c>
      <c r="C4" s="5912" t="s">
        <v>3072</v>
      </c>
      <c r="D4" s="5912" t="s">
        <v>3078</v>
      </c>
    </row>
    <row customHeight="1" ht="11.25">
      <c r="A5" s="5912" t="s">
        <v>89</v>
      </c>
      <c r="B5" s="5912" t="s">
        <v>3079</v>
      </c>
      <c r="C5" s="5912" t="s">
        <v>3080</v>
      </c>
      <c r="D5" s="5912" t="s">
        <v>3081</v>
      </c>
    </row>
    <row customHeight="1" ht="11.25">
      <c r="A6" s="5912" t="s">
        <v>109</v>
      </c>
      <c r="B6" s="5912" t="s">
        <v>3082</v>
      </c>
      <c r="C6" s="5912" t="s">
        <v>3080</v>
      </c>
      <c r="D6" s="5912" t="s">
        <v>3081</v>
      </c>
    </row>
    <row customHeight="1" ht="11.25">
      <c r="A7" s="5912" t="s">
        <v>90</v>
      </c>
      <c r="B7" s="5912" t="s">
        <v>3083</v>
      </c>
      <c r="C7" s="5912" t="s">
        <v>3084</v>
      </c>
      <c r="D7" s="5912" t="s">
        <v>3078</v>
      </c>
    </row>
    <row customHeight="1" ht="11.25">
      <c r="A8" s="5912" t="s">
        <v>91</v>
      </c>
      <c r="B8" s="5912" t="s">
        <v>3085</v>
      </c>
      <c r="C8" s="5912" t="s">
        <v>3072</v>
      </c>
      <c r="D8" s="5912" t="s">
        <v>3081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B7818-BF0F-B399-CF42-2BA3058C49C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F5BF7-B19F-F39D-38B7-ED42048E2EE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913" width="9.140625"/>
  </cols>
  <sheetData>
    <row customHeight="1" ht="11.25">
      <c r="A1" s="169" t="s">
        <v>128</v>
      </c>
      <c r="B1" s="169" t="s">
        <v>3086</v>
      </c>
    </row>
    <row customHeight="1" ht="11.25">
      <c r="A2" s="5914" t="s">
        <v>96</v>
      </c>
      <c r="B2" s="5914" t="s">
        <v>3087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74A43-B7EB-5BA6-F016-CD8FB2C5B0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911" width="9.140625"/>
    <col min="2" max="2" style="5911" width="65.28125" customWidth="1"/>
  </cols>
  <sheetData>
    <row customHeight="1" ht="11.25">
      <c r="A1" s="841" t="s">
        <v>3088</v>
      </c>
      <c r="B1" s="841" t="s">
        <v>3089</v>
      </c>
    </row>
    <row customHeight="1" ht="11.25">
      <c r="A2" s="841">
        <v>4213775</v>
      </c>
      <c r="B2" s="841" t="s">
        <v>1226</v>
      </c>
    </row>
    <row customHeight="1" ht="11.25">
      <c r="A3" s="841">
        <v>4213784</v>
      </c>
      <c r="B3" s="841" t="s">
        <v>1261</v>
      </c>
    </row>
    <row customHeight="1" ht="11.25">
      <c r="A4" s="841">
        <v>4213781</v>
      </c>
      <c r="B4" s="841" t="s">
        <v>1254</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1392</v>
      </c>
    </row>
    <row customHeight="1" ht="11.25">
      <c r="A10" s="841">
        <v>4213783</v>
      </c>
      <c r="B10" s="841" t="s">
        <v>1407</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351A1-43BF-9216-9E3E-33F20C7A188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911" width="9.140625"/>
    <col min="2" max="2" style="5911" width="65.28125" customWidth="1"/>
  </cols>
  <sheetData>
    <row customHeight="1" ht="11.25">
      <c r="A1" s="841" t="s">
        <v>3088</v>
      </c>
      <c r="B1" s="841" t="s">
        <v>3090</v>
      </c>
    </row>
    <row customHeight="1" ht="11.25">
      <c r="A2" s="841" t="s">
        <v>249</v>
      </c>
      <c r="B2" s="841" t="s">
        <v>1507</v>
      </c>
    </row>
    <row customHeight="1" ht="11.25">
      <c r="A3" s="841" t="s">
        <v>3091</v>
      </c>
      <c r="B3" s="841" t="s">
        <v>1516</v>
      </c>
    </row>
    <row customHeight="1" ht="11.25">
      <c r="A4" s="841" t="s">
        <v>264</v>
      </c>
      <c r="B4" s="841" t="s">
        <v>263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EADA9-4468-CD2E-3402-E424ECECD7B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373" t="s">
        <v>2673</v>
      </c>
      <c r="B1" s="373" t="s">
        <v>2674</v>
      </c>
      <c r="C1" s="373" t="s">
        <v>2675</v>
      </c>
      <c r="D1" s="373" t="s">
        <v>2676</v>
      </c>
      <c r="E1" s="0" t="s">
        <v>2677</v>
      </c>
      <c r="F1" s="0" t="s">
        <v>2678</v>
      </c>
      <c r="G1" s="0" t="s">
        <v>2679</v>
      </c>
    </row>
    <row customHeight="1" ht="11.25">
      <c r="A2" s="0" t="s">
        <v>14</v>
      </c>
      <c r="B2" s="0" t="s">
        <v>2680</v>
      </c>
      <c r="C2" s="0" t="s">
        <v>2681</v>
      </c>
      <c r="D2" s="0" t="s">
        <v>2682</v>
      </c>
      <c r="E2" s="0" t="s">
        <v>2683</v>
      </c>
      <c r="F2" s="0" t="s">
        <v>2684</v>
      </c>
      <c r="G2" s="0" t="s">
        <v>107</v>
      </c>
    </row>
    <row customHeight="1" ht="11.25">
      <c r="A3" s="0" t="s">
        <v>14</v>
      </c>
      <c r="B3" s="0" t="s">
        <v>2680</v>
      </c>
      <c r="C3" s="0" t="s">
        <v>2681</v>
      </c>
      <c r="D3" s="0" t="s">
        <v>2680</v>
      </c>
      <c r="E3" s="0" t="s">
        <v>2681</v>
      </c>
      <c r="F3" s="0" t="s">
        <v>2685</v>
      </c>
      <c r="G3" s="0" t="s">
        <v>108</v>
      </c>
    </row>
    <row customHeight="1" ht="11.25">
      <c r="A4" s="0" t="s">
        <v>14</v>
      </c>
      <c r="B4" s="0" t="s">
        <v>2680</v>
      </c>
      <c r="C4" s="0" t="s">
        <v>2681</v>
      </c>
      <c r="D4" s="0" t="s">
        <v>2686</v>
      </c>
      <c r="E4" s="0" t="s">
        <v>2687</v>
      </c>
      <c r="F4" s="0" t="s">
        <v>2684</v>
      </c>
      <c r="G4" s="0" t="s">
        <v>88</v>
      </c>
    </row>
    <row customHeight="1" ht="11.25">
      <c r="A5" s="0" t="s">
        <v>14</v>
      </c>
      <c r="B5" s="0" t="s">
        <v>2680</v>
      </c>
      <c r="C5" s="0" t="s">
        <v>2681</v>
      </c>
      <c r="D5" s="0" t="s">
        <v>2688</v>
      </c>
      <c r="E5" s="0" t="s">
        <v>2689</v>
      </c>
      <c r="F5" s="0" t="s">
        <v>2684</v>
      </c>
      <c r="G5" s="0" t="s">
        <v>89</v>
      </c>
    </row>
    <row customHeight="1" ht="11.25">
      <c r="A6" s="0" t="s">
        <v>14</v>
      </c>
      <c r="B6" s="0" t="s">
        <v>2680</v>
      </c>
      <c r="C6" s="0" t="s">
        <v>2681</v>
      </c>
      <c r="D6" s="0" t="s">
        <v>2690</v>
      </c>
      <c r="E6" s="0" t="s">
        <v>2691</v>
      </c>
      <c r="F6" s="0" t="s">
        <v>2684</v>
      </c>
      <c r="G6" s="0" t="s">
        <v>109</v>
      </c>
    </row>
    <row customHeight="1" ht="11.25">
      <c r="A7" s="0" t="s">
        <v>14</v>
      </c>
      <c r="B7" s="0" t="s">
        <v>2680</v>
      </c>
      <c r="C7" s="0" t="s">
        <v>2681</v>
      </c>
      <c r="D7" s="0" t="s">
        <v>2692</v>
      </c>
      <c r="E7" s="0" t="s">
        <v>2693</v>
      </c>
      <c r="F7" s="0" t="s">
        <v>2684</v>
      </c>
      <c r="G7" s="0" t="s">
        <v>90</v>
      </c>
    </row>
    <row customHeight="1" ht="11.25">
      <c r="A8" s="0" t="s">
        <v>14</v>
      </c>
      <c r="B8" s="0" t="s">
        <v>2680</v>
      </c>
      <c r="C8" s="0" t="s">
        <v>2681</v>
      </c>
      <c r="D8" s="0" t="s">
        <v>2694</v>
      </c>
      <c r="E8" s="0" t="s">
        <v>2695</v>
      </c>
      <c r="F8" s="0" t="s">
        <v>2684</v>
      </c>
      <c r="G8" s="0" t="s">
        <v>91</v>
      </c>
    </row>
    <row customHeight="1" ht="11.25">
      <c r="A9" s="0" t="s">
        <v>14</v>
      </c>
      <c r="B9" s="0" t="s">
        <v>2680</v>
      </c>
      <c r="C9" s="0" t="s">
        <v>2681</v>
      </c>
      <c r="D9" s="0" t="s">
        <v>2696</v>
      </c>
      <c r="E9" s="0" t="s">
        <v>2697</v>
      </c>
      <c r="F9" s="0" t="s">
        <v>2684</v>
      </c>
      <c r="G9" s="0" t="s">
        <v>110</v>
      </c>
    </row>
    <row customHeight="1" ht="11.25">
      <c r="A10" s="0" t="s">
        <v>14</v>
      </c>
      <c r="B10" s="0" t="s">
        <v>2680</v>
      </c>
      <c r="C10" s="0" t="s">
        <v>2681</v>
      </c>
      <c r="D10" s="0" t="s">
        <v>2698</v>
      </c>
      <c r="E10" s="0" t="s">
        <v>2699</v>
      </c>
      <c r="F10" s="0" t="s">
        <v>2700</v>
      </c>
      <c r="G10" s="0" t="s">
        <v>146</v>
      </c>
    </row>
    <row customHeight="1" ht="11.25">
      <c r="A11" s="0" t="s">
        <v>14</v>
      </c>
      <c r="B11" s="0" t="s">
        <v>2701</v>
      </c>
      <c r="C11" s="0" t="s">
        <v>2702</v>
      </c>
      <c r="D11" s="0" t="s">
        <v>2703</v>
      </c>
      <c r="E11" s="0" t="s">
        <v>2704</v>
      </c>
      <c r="F11" s="0" t="s">
        <v>2684</v>
      </c>
      <c r="G11" s="0" t="s">
        <v>147</v>
      </c>
    </row>
    <row customHeight="1" ht="11.25">
      <c r="A12" s="0" t="s">
        <v>14</v>
      </c>
      <c r="B12" s="0" t="s">
        <v>2701</v>
      </c>
      <c r="C12" s="0" t="s">
        <v>2702</v>
      </c>
      <c r="D12" s="0" t="s">
        <v>2701</v>
      </c>
      <c r="E12" s="0" t="s">
        <v>2702</v>
      </c>
      <c r="F12" s="0" t="s">
        <v>2685</v>
      </c>
      <c r="G12" s="0" t="s">
        <v>148</v>
      </c>
    </row>
    <row customHeight="1" ht="11.25">
      <c r="A13" s="0" t="s">
        <v>14</v>
      </c>
      <c r="B13" s="0" t="s">
        <v>2701</v>
      </c>
      <c r="C13" s="0" t="s">
        <v>2702</v>
      </c>
      <c r="D13" s="0" t="s">
        <v>2705</v>
      </c>
      <c r="E13" s="0" t="s">
        <v>2706</v>
      </c>
      <c r="F13" s="0" t="s">
        <v>2684</v>
      </c>
      <c r="G13" s="0" t="s">
        <v>149</v>
      </c>
    </row>
    <row customHeight="1" ht="11.25">
      <c r="A14" s="0" t="s">
        <v>14</v>
      </c>
      <c r="B14" s="0" t="s">
        <v>2701</v>
      </c>
      <c r="C14" s="0" t="s">
        <v>2702</v>
      </c>
      <c r="D14" s="0" t="s">
        <v>2707</v>
      </c>
      <c r="E14" s="0" t="s">
        <v>2708</v>
      </c>
      <c r="F14" s="0" t="s">
        <v>2684</v>
      </c>
      <c r="G14" s="0" t="s">
        <v>150</v>
      </c>
    </row>
    <row customHeight="1" ht="11.25">
      <c r="A15" s="0" t="s">
        <v>14</v>
      </c>
      <c r="B15" s="0" t="s">
        <v>2701</v>
      </c>
      <c r="C15" s="0" t="s">
        <v>2702</v>
      </c>
      <c r="D15" s="0" t="s">
        <v>2709</v>
      </c>
      <c r="E15" s="0" t="s">
        <v>2710</v>
      </c>
      <c r="F15" s="0" t="s">
        <v>2684</v>
      </c>
      <c r="G15" s="0" t="s">
        <v>151</v>
      </c>
    </row>
    <row customHeight="1" ht="11.25">
      <c r="A16" s="0" t="s">
        <v>14</v>
      </c>
      <c r="B16" s="0" t="s">
        <v>2701</v>
      </c>
      <c r="C16" s="0" t="s">
        <v>2702</v>
      </c>
      <c r="D16" s="0" t="s">
        <v>2711</v>
      </c>
      <c r="E16" s="0" t="s">
        <v>2712</v>
      </c>
      <c r="F16" s="0" t="s">
        <v>2684</v>
      </c>
      <c r="G16" s="0" t="s">
        <v>1467</v>
      </c>
    </row>
    <row customHeight="1" ht="11.25">
      <c r="A17" s="0" t="s">
        <v>14</v>
      </c>
      <c r="B17" s="0" t="s">
        <v>2701</v>
      </c>
      <c r="C17" s="0" t="s">
        <v>2702</v>
      </c>
      <c r="D17" s="0" t="s">
        <v>2713</v>
      </c>
      <c r="E17" s="0" t="s">
        <v>2714</v>
      </c>
      <c r="F17" s="0" t="s">
        <v>2684</v>
      </c>
      <c r="G17" s="0" t="s">
        <v>1473</v>
      </c>
    </row>
    <row customHeight="1" ht="11.25">
      <c r="A18" s="0" t="s">
        <v>14</v>
      </c>
      <c r="B18" s="0" t="s">
        <v>2701</v>
      </c>
      <c r="C18" s="0" t="s">
        <v>2702</v>
      </c>
      <c r="D18" s="0" t="s">
        <v>2715</v>
      </c>
      <c r="E18" s="0" t="s">
        <v>2716</v>
      </c>
      <c r="F18" s="0" t="s">
        <v>2684</v>
      </c>
      <c r="G18" s="0" t="s">
        <v>1484</v>
      </c>
    </row>
    <row customHeight="1" ht="11.25">
      <c r="A19" s="0" t="s">
        <v>14</v>
      </c>
      <c r="B19" s="0" t="s">
        <v>2701</v>
      </c>
      <c r="C19" s="0" t="s">
        <v>2702</v>
      </c>
      <c r="D19" s="0" t="s">
        <v>2717</v>
      </c>
      <c r="E19" s="0" t="s">
        <v>2718</v>
      </c>
      <c r="F19" s="0" t="s">
        <v>2684</v>
      </c>
      <c r="G19" s="0" t="s">
        <v>1498</v>
      </c>
    </row>
    <row customHeight="1" ht="11.25">
      <c r="A20" s="0" t="s">
        <v>14</v>
      </c>
      <c r="B20" s="0" t="s">
        <v>2701</v>
      </c>
      <c r="C20" s="0" t="s">
        <v>2702</v>
      </c>
      <c r="D20" s="0" t="s">
        <v>2719</v>
      </c>
      <c r="E20" s="0" t="s">
        <v>2720</v>
      </c>
      <c r="F20" s="0" t="s">
        <v>2684</v>
      </c>
      <c r="G20" s="0" t="s">
        <v>1510</v>
      </c>
    </row>
    <row customHeight="1" ht="11.25">
      <c r="A21" s="0" t="s">
        <v>14</v>
      </c>
      <c r="B21" s="0" t="s">
        <v>2701</v>
      </c>
      <c r="C21" s="0" t="s">
        <v>2702</v>
      </c>
      <c r="D21" s="0" t="s">
        <v>2721</v>
      </c>
      <c r="E21" s="0" t="s">
        <v>2722</v>
      </c>
      <c r="F21" s="0" t="s">
        <v>2684</v>
      </c>
      <c r="G21" s="0" t="s">
        <v>1519</v>
      </c>
    </row>
    <row customHeight="1" ht="11.25">
      <c r="A22" s="0" t="s">
        <v>14</v>
      </c>
      <c r="B22" s="0" t="s">
        <v>2723</v>
      </c>
      <c r="C22" s="0" t="s">
        <v>2724</v>
      </c>
      <c r="D22" s="0" t="s">
        <v>2723</v>
      </c>
      <c r="E22" s="0" t="s">
        <v>2724</v>
      </c>
      <c r="F22" s="0" t="s">
        <v>2685</v>
      </c>
      <c r="G22" s="0" t="s">
        <v>1534</v>
      </c>
    </row>
    <row customHeight="1" ht="11.25">
      <c r="A23" s="0" t="s">
        <v>14</v>
      </c>
      <c r="B23" s="0" t="s">
        <v>2723</v>
      </c>
      <c r="C23" s="0" t="s">
        <v>2724</v>
      </c>
      <c r="D23" s="0" t="s">
        <v>2725</v>
      </c>
      <c r="E23" s="0" t="s">
        <v>2726</v>
      </c>
      <c r="F23" s="0" t="s">
        <v>2684</v>
      </c>
      <c r="G23" s="0" t="s">
        <v>1541</v>
      </c>
    </row>
    <row customHeight="1" ht="11.25">
      <c r="A24" s="0" t="s">
        <v>14</v>
      </c>
      <c r="B24" s="0" t="s">
        <v>2723</v>
      </c>
      <c r="C24" s="0" t="s">
        <v>2724</v>
      </c>
      <c r="D24" s="0" t="s">
        <v>2727</v>
      </c>
      <c r="E24" s="0" t="s">
        <v>2728</v>
      </c>
      <c r="F24" s="0" t="s">
        <v>2684</v>
      </c>
      <c r="G24" s="0" t="s">
        <v>1549</v>
      </c>
    </row>
    <row customHeight="1" ht="11.25">
      <c r="A25" s="0" t="s">
        <v>14</v>
      </c>
      <c r="B25" s="0" t="s">
        <v>2723</v>
      </c>
      <c r="C25" s="0" t="s">
        <v>2724</v>
      </c>
      <c r="D25" s="0" t="s">
        <v>2729</v>
      </c>
      <c r="E25" s="0" t="s">
        <v>2730</v>
      </c>
      <c r="F25" s="0" t="s">
        <v>2684</v>
      </c>
      <c r="G25" s="0" t="s">
        <v>1556</v>
      </c>
    </row>
    <row customHeight="1" ht="11.25">
      <c r="A26" s="0" t="s">
        <v>14</v>
      </c>
      <c r="B26" s="0" t="s">
        <v>2723</v>
      </c>
      <c r="C26" s="0" t="s">
        <v>2724</v>
      </c>
      <c r="D26" s="0" t="s">
        <v>2731</v>
      </c>
      <c r="E26" s="0" t="s">
        <v>2732</v>
      </c>
      <c r="F26" s="0" t="s">
        <v>2684</v>
      </c>
      <c r="G26" s="0" t="s">
        <v>1560</v>
      </c>
    </row>
    <row customHeight="1" ht="11.25">
      <c r="A27" s="0" t="s">
        <v>14</v>
      </c>
      <c r="B27" s="0" t="s">
        <v>2723</v>
      </c>
      <c r="C27" s="0" t="s">
        <v>2724</v>
      </c>
      <c r="D27" s="0" t="s">
        <v>2733</v>
      </c>
      <c r="E27" s="0" t="s">
        <v>2734</v>
      </c>
      <c r="F27" s="0" t="s">
        <v>2684</v>
      </c>
      <c r="G27" s="0" t="s">
        <v>1565</v>
      </c>
    </row>
    <row customHeight="1" ht="11.25">
      <c r="A28" s="0" t="s">
        <v>14</v>
      </c>
      <c r="B28" s="0" t="s">
        <v>2723</v>
      </c>
      <c r="C28" s="0" t="s">
        <v>2724</v>
      </c>
      <c r="D28" s="0" t="s">
        <v>2735</v>
      </c>
      <c r="E28" s="0" t="s">
        <v>2736</v>
      </c>
      <c r="F28" s="0" t="s">
        <v>2684</v>
      </c>
      <c r="G28" s="0" t="s">
        <v>1573</v>
      </c>
    </row>
    <row customHeight="1" ht="11.25">
      <c r="A29" s="0" t="s">
        <v>14</v>
      </c>
      <c r="B29" s="0" t="s">
        <v>2723</v>
      </c>
      <c r="C29" s="0" t="s">
        <v>2724</v>
      </c>
      <c r="D29" s="0" t="s">
        <v>2737</v>
      </c>
      <c r="E29" s="0" t="s">
        <v>2738</v>
      </c>
      <c r="F29" s="0" t="s">
        <v>2684</v>
      </c>
      <c r="G29" s="0" t="s">
        <v>1575</v>
      </c>
    </row>
    <row customHeight="1" ht="11.25">
      <c r="A30" s="0" t="s">
        <v>14</v>
      </c>
      <c r="B30" s="0" t="s">
        <v>2723</v>
      </c>
      <c r="C30" s="0" t="s">
        <v>2724</v>
      </c>
      <c r="D30" s="0" t="s">
        <v>2739</v>
      </c>
      <c r="E30" s="0" t="s">
        <v>2740</v>
      </c>
      <c r="F30" s="0" t="s">
        <v>2741</v>
      </c>
      <c r="G30" s="0" t="s">
        <v>1578</v>
      </c>
    </row>
    <row customHeight="1" ht="11.25">
      <c r="A31" s="0" t="s">
        <v>14</v>
      </c>
      <c r="B31" s="0" t="s">
        <v>2723</v>
      </c>
      <c r="C31" s="0" t="s">
        <v>2724</v>
      </c>
      <c r="D31" s="0" t="s">
        <v>2742</v>
      </c>
      <c r="E31" s="0" t="s">
        <v>2743</v>
      </c>
      <c r="F31" s="0" t="s">
        <v>2700</v>
      </c>
      <c r="G31" s="0" t="s">
        <v>1584</v>
      </c>
    </row>
    <row customHeight="1" ht="11.25">
      <c r="A32" s="0" t="s">
        <v>14</v>
      </c>
      <c r="B32" s="0" t="s">
        <v>2723</v>
      </c>
      <c r="C32" s="0" t="s">
        <v>2724</v>
      </c>
      <c r="D32" s="0" t="s">
        <v>2744</v>
      </c>
      <c r="E32" s="0" t="s">
        <v>2745</v>
      </c>
      <c r="F32" s="0" t="s">
        <v>2700</v>
      </c>
      <c r="G32" s="0" t="s">
        <v>1586</v>
      </c>
    </row>
    <row customHeight="1" ht="11.25">
      <c r="A33" s="0" t="s">
        <v>14</v>
      </c>
      <c r="B33" s="0" t="s">
        <v>2746</v>
      </c>
      <c r="C33" s="0" t="s">
        <v>2747</v>
      </c>
      <c r="D33" s="0" t="s">
        <v>2748</v>
      </c>
      <c r="E33" s="0" t="s">
        <v>2749</v>
      </c>
      <c r="F33" s="0" t="s">
        <v>2684</v>
      </c>
      <c r="G33" s="0" t="s">
        <v>1588</v>
      </c>
    </row>
    <row customHeight="1" ht="11.25">
      <c r="A34" s="0" t="s">
        <v>14</v>
      </c>
      <c r="B34" s="0" t="s">
        <v>2746</v>
      </c>
      <c r="C34" s="0" t="s">
        <v>2747</v>
      </c>
      <c r="D34" s="0" t="s">
        <v>2750</v>
      </c>
      <c r="E34" s="0" t="s">
        <v>2751</v>
      </c>
      <c r="F34" s="0" t="s">
        <v>2684</v>
      </c>
      <c r="G34" s="0" t="s">
        <v>1590</v>
      </c>
    </row>
    <row customHeight="1" ht="11.25">
      <c r="A35" s="0" t="s">
        <v>14</v>
      </c>
      <c r="B35" s="0" t="s">
        <v>2746</v>
      </c>
      <c r="C35" s="0" t="s">
        <v>2747</v>
      </c>
      <c r="D35" s="0" t="s">
        <v>2752</v>
      </c>
      <c r="E35" s="0" t="s">
        <v>2753</v>
      </c>
      <c r="F35" s="0" t="s">
        <v>2684</v>
      </c>
      <c r="G35" s="0" t="s">
        <v>1595</v>
      </c>
    </row>
    <row customHeight="1" ht="11.25">
      <c r="A36" s="0" t="s">
        <v>14</v>
      </c>
      <c r="B36" s="0" t="s">
        <v>2746</v>
      </c>
      <c r="C36" s="0" t="s">
        <v>2747</v>
      </c>
      <c r="D36" s="0" t="s">
        <v>2746</v>
      </c>
      <c r="E36" s="0" t="s">
        <v>2747</v>
      </c>
      <c r="F36" s="0" t="s">
        <v>2685</v>
      </c>
      <c r="G36" s="0" t="s">
        <v>1600</v>
      </c>
    </row>
    <row customHeight="1" ht="11.25">
      <c r="A37" s="0" t="s">
        <v>14</v>
      </c>
      <c r="B37" s="0" t="s">
        <v>2746</v>
      </c>
      <c r="C37" s="0" t="s">
        <v>2747</v>
      </c>
      <c r="D37" s="0" t="s">
        <v>2754</v>
      </c>
      <c r="E37" s="0" t="s">
        <v>2755</v>
      </c>
      <c r="F37" s="0" t="s">
        <v>2684</v>
      </c>
      <c r="G37" s="0" t="s">
        <v>1604</v>
      </c>
    </row>
    <row customHeight="1" ht="11.25">
      <c r="A38" s="0" t="s">
        <v>14</v>
      </c>
      <c r="B38" s="0" t="s">
        <v>2746</v>
      </c>
      <c r="C38" s="0" t="s">
        <v>2747</v>
      </c>
      <c r="D38" s="0" t="s">
        <v>2756</v>
      </c>
      <c r="E38" s="0" t="s">
        <v>2757</v>
      </c>
      <c r="F38" s="0" t="s">
        <v>2684</v>
      </c>
      <c r="G38" s="0" t="s">
        <v>1612</v>
      </c>
    </row>
    <row customHeight="1" ht="11.25">
      <c r="A39" s="0" t="s">
        <v>14</v>
      </c>
      <c r="B39" s="0" t="s">
        <v>2746</v>
      </c>
      <c r="C39" s="0" t="s">
        <v>2747</v>
      </c>
      <c r="D39" s="0" t="s">
        <v>2758</v>
      </c>
      <c r="E39" s="0" t="s">
        <v>2759</v>
      </c>
      <c r="F39" s="0" t="s">
        <v>2684</v>
      </c>
      <c r="G39" s="0" t="s">
        <v>1618</v>
      </c>
    </row>
    <row customHeight="1" ht="11.25">
      <c r="A40" s="0" t="s">
        <v>14</v>
      </c>
      <c r="B40" s="0" t="s">
        <v>2746</v>
      </c>
      <c r="C40" s="0" t="s">
        <v>2747</v>
      </c>
      <c r="D40" s="0" t="s">
        <v>2760</v>
      </c>
      <c r="E40" s="0" t="s">
        <v>2761</v>
      </c>
      <c r="F40" s="0" t="s">
        <v>2684</v>
      </c>
      <c r="G40" s="0" t="s">
        <v>1623</v>
      </c>
    </row>
    <row customHeight="1" ht="11.25">
      <c r="A41" s="0" t="s">
        <v>14</v>
      </c>
      <c r="B41" s="0" t="s">
        <v>2746</v>
      </c>
      <c r="C41" s="0" t="s">
        <v>2747</v>
      </c>
      <c r="D41" s="0" t="s">
        <v>2762</v>
      </c>
      <c r="E41" s="0" t="s">
        <v>2763</v>
      </c>
      <c r="F41" s="0" t="s">
        <v>2684</v>
      </c>
      <c r="G41" s="0" t="s">
        <v>1627</v>
      </c>
    </row>
    <row customHeight="1" ht="11.25">
      <c r="A42" s="0" t="s">
        <v>14</v>
      </c>
      <c r="B42" s="0" t="s">
        <v>2746</v>
      </c>
      <c r="C42" s="0" t="s">
        <v>2747</v>
      </c>
      <c r="D42" s="0" t="s">
        <v>2764</v>
      </c>
      <c r="E42" s="0" t="s">
        <v>2765</v>
      </c>
      <c r="F42" s="0" t="s">
        <v>2700</v>
      </c>
      <c r="G42" s="0" t="s">
        <v>1630</v>
      </c>
    </row>
    <row customHeight="1" ht="11.25">
      <c r="A43" s="0" t="s">
        <v>14</v>
      </c>
      <c r="B43" s="0" t="s">
        <v>2766</v>
      </c>
      <c r="C43" s="0" t="s">
        <v>2767</v>
      </c>
      <c r="D43" s="0" t="s">
        <v>2768</v>
      </c>
      <c r="E43" s="0" t="s">
        <v>2769</v>
      </c>
      <c r="F43" s="0" t="s">
        <v>2684</v>
      </c>
      <c r="G43" s="0" t="s">
        <v>1637</v>
      </c>
    </row>
    <row customHeight="1" ht="11.25">
      <c r="A44" s="0" t="s">
        <v>14</v>
      </c>
      <c r="B44" s="0" t="s">
        <v>2766</v>
      </c>
      <c r="C44" s="0" t="s">
        <v>2767</v>
      </c>
      <c r="D44" s="0" t="s">
        <v>2766</v>
      </c>
      <c r="E44" s="0" t="s">
        <v>2767</v>
      </c>
      <c r="F44" s="0" t="s">
        <v>2685</v>
      </c>
      <c r="G44" s="0" t="s">
        <v>1646</v>
      </c>
    </row>
    <row customHeight="1" ht="11.25">
      <c r="A45" s="0" t="s">
        <v>14</v>
      </c>
      <c r="B45" s="0" t="s">
        <v>2766</v>
      </c>
      <c r="C45" s="0" t="s">
        <v>2767</v>
      </c>
      <c r="D45" s="0" t="s">
        <v>2770</v>
      </c>
      <c r="E45" s="0" t="s">
        <v>2771</v>
      </c>
      <c r="F45" s="0" t="s">
        <v>2684</v>
      </c>
      <c r="G45" s="0" t="s">
        <v>1651</v>
      </c>
    </row>
    <row customHeight="1" ht="11.25">
      <c r="A46" s="0" t="s">
        <v>14</v>
      </c>
      <c r="B46" s="0" t="s">
        <v>2766</v>
      </c>
      <c r="C46" s="0" t="s">
        <v>2767</v>
      </c>
      <c r="D46" s="0" t="s">
        <v>2772</v>
      </c>
      <c r="E46" s="0" t="s">
        <v>2773</v>
      </c>
      <c r="F46" s="0" t="s">
        <v>2684</v>
      </c>
      <c r="G46" s="0" t="s">
        <v>1655</v>
      </c>
    </row>
    <row customHeight="1" ht="11.25">
      <c r="A47" s="0" t="s">
        <v>14</v>
      </c>
      <c r="B47" s="0" t="s">
        <v>2766</v>
      </c>
      <c r="C47" s="0" t="s">
        <v>2767</v>
      </c>
      <c r="D47" s="0" t="s">
        <v>2774</v>
      </c>
      <c r="E47" s="0" t="s">
        <v>2775</v>
      </c>
      <c r="F47" s="0" t="s">
        <v>2684</v>
      </c>
      <c r="G47" s="0" t="s">
        <v>1661</v>
      </c>
    </row>
    <row customHeight="1" ht="11.25">
      <c r="A48" s="0" t="s">
        <v>14</v>
      </c>
      <c r="B48" s="0" t="s">
        <v>2766</v>
      </c>
      <c r="C48" s="0" t="s">
        <v>2767</v>
      </c>
      <c r="D48" s="0" t="s">
        <v>2776</v>
      </c>
      <c r="E48" s="0" t="s">
        <v>2777</v>
      </c>
      <c r="F48" s="0" t="s">
        <v>2684</v>
      </c>
      <c r="G48" s="0" t="s">
        <v>1666</v>
      </c>
    </row>
    <row customHeight="1" ht="11.25">
      <c r="A49" s="0" t="s">
        <v>14</v>
      </c>
      <c r="B49" s="0" t="s">
        <v>2766</v>
      </c>
      <c r="C49" s="0" t="s">
        <v>2767</v>
      </c>
      <c r="D49" s="0" t="s">
        <v>2778</v>
      </c>
      <c r="E49" s="0" t="s">
        <v>2779</v>
      </c>
      <c r="F49" s="0" t="s">
        <v>2684</v>
      </c>
      <c r="G49" s="0" t="s">
        <v>1669</v>
      </c>
    </row>
    <row customHeight="1" ht="11.25">
      <c r="A50" s="0" t="s">
        <v>14</v>
      </c>
      <c r="B50" s="0" t="s">
        <v>2766</v>
      </c>
      <c r="C50" s="0" t="s">
        <v>2767</v>
      </c>
      <c r="D50" s="0" t="s">
        <v>2780</v>
      </c>
      <c r="E50" s="0" t="s">
        <v>2781</v>
      </c>
      <c r="F50" s="0" t="s">
        <v>2684</v>
      </c>
      <c r="G50" s="0" t="s">
        <v>1673</v>
      </c>
    </row>
    <row customHeight="1" ht="11.25">
      <c r="A51" s="0" t="s">
        <v>14</v>
      </c>
      <c r="B51" s="0" t="s">
        <v>2766</v>
      </c>
      <c r="C51" s="0" t="s">
        <v>2767</v>
      </c>
      <c r="D51" s="0" t="s">
        <v>2782</v>
      </c>
      <c r="E51" s="0" t="s">
        <v>2783</v>
      </c>
      <c r="F51" s="0" t="s">
        <v>2684</v>
      </c>
      <c r="G51" s="0" t="s">
        <v>1677</v>
      </c>
    </row>
    <row customHeight="1" ht="11.25">
      <c r="A52" s="0" t="s">
        <v>14</v>
      </c>
      <c r="B52" s="0" t="s">
        <v>2766</v>
      </c>
      <c r="C52" s="0" t="s">
        <v>2767</v>
      </c>
      <c r="D52" s="0" t="s">
        <v>2784</v>
      </c>
      <c r="E52" s="0" t="s">
        <v>2785</v>
      </c>
      <c r="F52" s="0" t="s">
        <v>2700</v>
      </c>
      <c r="G52" s="0" t="s">
        <v>1681</v>
      </c>
    </row>
    <row customHeight="1" ht="11.25">
      <c r="A53" s="0" t="s">
        <v>14</v>
      </c>
      <c r="B53" s="0" t="s">
        <v>2786</v>
      </c>
      <c r="C53" s="0" t="s">
        <v>2787</v>
      </c>
      <c r="D53" s="0" t="s">
        <v>2788</v>
      </c>
      <c r="E53" s="0" t="s">
        <v>2789</v>
      </c>
      <c r="F53" s="0" t="s">
        <v>2684</v>
      </c>
      <c r="G53" s="0" t="s">
        <v>1683</v>
      </c>
    </row>
    <row customHeight="1" ht="11.25">
      <c r="A54" s="0" t="s">
        <v>14</v>
      </c>
      <c r="B54" s="0" t="s">
        <v>2786</v>
      </c>
      <c r="C54" s="0" t="s">
        <v>2787</v>
      </c>
      <c r="D54" s="0" t="s">
        <v>2790</v>
      </c>
      <c r="E54" s="0" t="s">
        <v>2791</v>
      </c>
      <c r="F54" s="0" t="s">
        <v>2684</v>
      </c>
      <c r="G54" s="0" t="s">
        <v>1686</v>
      </c>
    </row>
    <row customHeight="1" ht="11.25">
      <c r="A55" s="0" t="s">
        <v>14</v>
      </c>
      <c r="B55" s="0" t="s">
        <v>2786</v>
      </c>
      <c r="C55" s="0" t="s">
        <v>2787</v>
      </c>
      <c r="D55" s="0" t="s">
        <v>2792</v>
      </c>
      <c r="E55" s="0" t="s">
        <v>2793</v>
      </c>
      <c r="F55" s="0" t="s">
        <v>2684</v>
      </c>
      <c r="G55" s="0" t="s">
        <v>1690</v>
      </c>
    </row>
    <row customHeight="1" ht="11.25">
      <c r="A56" s="0" t="s">
        <v>14</v>
      </c>
      <c r="B56" s="0" t="s">
        <v>2786</v>
      </c>
      <c r="C56" s="0" t="s">
        <v>2787</v>
      </c>
      <c r="D56" s="0" t="s">
        <v>2786</v>
      </c>
      <c r="E56" s="0" t="s">
        <v>2787</v>
      </c>
      <c r="F56" s="0" t="s">
        <v>2685</v>
      </c>
      <c r="G56" s="0" t="s">
        <v>1693</v>
      </c>
    </row>
    <row customHeight="1" ht="11.25">
      <c r="A57" s="0" t="s">
        <v>14</v>
      </c>
      <c r="B57" s="0" t="s">
        <v>2786</v>
      </c>
      <c r="C57" s="0" t="s">
        <v>2787</v>
      </c>
      <c r="D57" s="0" t="s">
        <v>2794</v>
      </c>
      <c r="E57" s="0" t="s">
        <v>2795</v>
      </c>
      <c r="F57" s="0" t="s">
        <v>2684</v>
      </c>
      <c r="G57" s="0" t="s">
        <v>1696</v>
      </c>
    </row>
    <row customHeight="1" ht="11.25">
      <c r="A58" s="0" t="s">
        <v>14</v>
      </c>
      <c r="B58" s="0" t="s">
        <v>2786</v>
      </c>
      <c r="C58" s="0" t="s">
        <v>2787</v>
      </c>
      <c r="D58" s="0" t="s">
        <v>2796</v>
      </c>
      <c r="E58" s="0" t="s">
        <v>2797</v>
      </c>
      <c r="F58" s="0" t="s">
        <v>2684</v>
      </c>
      <c r="G58" s="0" t="s">
        <v>1699</v>
      </c>
    </row>
    <row customHeight="1" ht="11.25">
      <c r="A59" s="0" t="s">
        <v>14</v>
      </c>
      <c r="B59" s="0" t="s">
        <v>2786</v>
      </c>
      <c r="C59" s="0" t="s">
        <v>2787</v>
      </c>
      <c r="D59" s="0" t="s">
        <v>2798</v>
      </c>
      <c r="E59" s="0" t="s">
        <v>2799</v>
      </c>
      <c r="F59" s="0" t="s">
        <v>2700</v>
      </c>
      <c r="G59" s="0" t="s">
        <v>1703</v>
      </c>
    </row>
    <row customHeight="1" ht="11.25">
      <c r="A60" s="0" t="s">
        <v>14</v>
      </c>
      <c r="B60" s="0" t="s">
        <v>2800</v>
      </c>
      <c r="C60" s="0" t="s">
        <v>2801</v>
      </c>
      <c r="D60" s="0" t="s">
        <v>2802</v>
      </c>
      <c r="E60" s="0" t="s">
        <v>2803</v>
      </c>
      <c r="F60" s="0" t="s">
        <v>2684</v>
      </c>
      <c r="G60" s="0" t="s">
        <v>1705</v>
      </c>
    </row>
    <row customHeight="1" ht="11.25">
      <c r="A61" s="0" t="s">
        <v>14</v>
      </c>
      <c r="B61" s="0" t="s">
        <v>2800</v>
      </c>
      <c r="C61" s="0" t="s">
        <v>2801</v>
      </c>
      <c r="D61" s="0" t="s">
        <v>2804</v>
      </c>
      <c r="E61" s="0" t="s">
        <v>2805</v>
      </c>
      <c r="F61" s="0" t="s">
        <v>2684</v>
      </c>
      <c r="G61" s="0" t="s">
        <v>2806</v>
      </c>
    </row>
    <row customHeight="1" ht="11.25">
      <c r="A62" s="0" t="s">
        <v>14</v>
      </c>
      <c r="B62" s="0" t="s">
        <v>2800</v>
      </c>
      <c r="C62" s="0" t="s">
        <v>2801</v>
      </c>
      <c r="D62" s="0" t="s">
        <v>2807</v>
      </c>
      <c r="E62" s="0" t="s">
        <v>2808</v>
      </c>
      <c r="F62" s="0" t="s">
        <v>2684</v>
      </c>
      <c r="G62" s="0" t="s">
        <v>2809</v>
      </c>
    </row>
    <row customHeight="1" ht="11.25">
      <c r="A63" s="0" t="s">
        <v>14</v>
      </c>
      <c r="B63" s="0" t="s">
        <v>2800</v>
      </c>
      <c r="C63" s="0" t="s">
        <v>2801</v>
      </c>
      <c r="D63" s="0" t="s">
        <v>2810</v>
      </c>
      <c r="E63" s="0" t="s">
        <v>2811</v>
      </c>
      <c r="F63" s="0" t="s">
        <v>2684</v>
      </c>
      <c r="G63" s="0" t="s">
        <v>2812</v>
      </c>
    </row>
    <row customHeight="1" ht="11.25">
      <c r="A64" s="0" t="s">
        <v>14</v>
      </c>
      <c r="B64" s="0" t="s">
        <v>2800</v>
      </c>
      <c r="C64" s="0" t="s">
        <v>2801</v>
      </c>
      <c r="D64" s="0" t="s">
        <v>2711</v>
      </c>
      <c r="E64" s="0" t="s">
        <v>2813</v>
      </c>
      <c r="F64" s="0" t="s">
        <v>2684</v>
      </c>
      <c r="G64" s="0" t="s">
        <v>2814</v>
      </c>
    </row>
    <row customHeight="1" ht="11.25">
      <c r="A65" s="0" t="s">
        <v>14</v>
      </c>
      <c r="B65" s="0" t="s">
        <v>2800</v>
      </c>
      <c r="C65" s="0" t="s">
        <v>2801</v>
      </c>
      <c r="D65" s="0" t="s">
        <v>2815</v>
      </c>
      <c r="E65" s="0" t="s">
        <v>2816</v>
      </c>
      <c r="F65" s="0" t="s">
        <v>2684</v>
      </c>
      <c r="G65" s="0" t="s">
        <v>2817</v>
      </c>
    </row>
    <row customHeight="1" ht="11.25">
      <c r="A66" s="0" t="s">
        <v>14</v>
      </c>
      <c r="B66" s="0" t="s">
        <v>2800</v>
      </c>
      <c r="C66" s="0" t="s">
        <v>2801</v>
      </c>
      <c r="D66" s="0" t="s">
        <v>2818</v>
      </c>
      <c r="E66" s="0" t="s">
        <v>2819</v>
      </c>
      <c r="F66" s="0" t="s">
        <v>2684</v>
      </c>
      <c r="G66" s="0" t="s">
        <v>2820</v>
      </c>
    </row>
    <row customHeight="1" ht="11.25">
      <c r="A67" s="0" t="s">
        <v>14</v>
      </c>
      <c r="B67" s="0" t="s">
        <v>2800</v>
      </c>
      <c r="C67" s="0" t="s">
        <v>2801</v>
      </c>
      <c r="D67" s="0" t="s">
        <v>2821</v>
      </c>
      <c r="E67" s="0" t="s">
        <v>2822</v>
      </c>
      <c r="F67" s="0" t="s">
        <v>2684</v>
      </c>
      <c r="G67" s="0" t="s">
        <v>1927</v>
      </c>
    </row>
    <row customHeight="1" ht="11.25">
      <c r="A68" s="0" t="s">
        <v>14</v>
      </c>
      <c r="B68" s="0" t="s">
        <v>2800</v>
      </c>
      <c r="C68" s="0" t="s">
        <v>2801</v>
      </c>
      <c r="D68" s="0" t="s">
        <v>2800</v>
      </c>
      <c r="E68" s="0" t="s">
        <v>2801</v>
      </c>
      <c r="F68" s="0" t="s">
        <v>2685</v>
      </c>
      <c r="G68" s="0" t="s">
        <v>2823</v>
      </c>
    </row>
    <row customHeight="1" ht="11.25">
      <c r="A69" s="0" t="s">
        <v>14</v>
      </c>
      <c r="B69" s="0" t="s">
        <v>2800</v>
      </c>
      <c r="C69" s="0" t="s">
        <v>2801</v>
      </c>
      <c r="D69" s="0" t="s">
        <v>2824</v>
      </c>
      <c r="E69" s="0" t="s">
        <v>2825</v>
      </c>
      <c r="F69" s="0" t="s">
        <v>2684</v>
      </c>
      <c r="G69" s="0" t="s">
        <v>2138</v>
      </c>
    </row>
    <row customHeight="1" ht="11.25">
      <c r="A70" s="0" t="s">
        <v>14</v>
      </c>
      <c r="B70" s="0" t="s">
        <v>2800</v>
      </c>
      <c r="C70" s="0" t="s">
        <v>2801</v>
      </c>
      <c r="D70" s="0" t="s">
        <v>2826</v>
      </c>
      <c r="E70" s="0" t="s">
        <v>2827</v>
      </c>
      <c r="F70" s="0" t="s">
        <v>2684</v>
      </c>
      <c r="G70" s="0" t="s">
        <v>2828</v>
      </c>
    </row>
    <row customHeight="1" ht="11.25">
      <c r="A71" s="0" t="s">
        <v>14</v>
      </c>
      <c r="B71" s="0" t="s">
        <v>2800</v>
      </c>
      <c r="C71" s="0" t="s">
        <v>2801</v>
      </c>
      <c r="D71" s="0" t="s">
        <v>2829</v>
      </c>
      <c r="E71" s="0" t="s">
        <v>2830</v>
      </c>
      <c r="F71" s="0" t="s">
        <v>2684</v>
      </c>
      <c r="G71" s="0" t="s">
        <v>2831</v>
      </c>
    </row>
    <row customHeight="1" ht="11.25">
      <c r="A72" s="0" t="s">
        <v>14</v>
      </c>
      <c r="B72" s="0" t="s">
        <v>2800</v>
      </c>
      <c r="C72" s="0" t="s">
        <v>2801</v>
      </c>
      <c r="D72" s="0" t="s">
        <v>2832</v>
      </c>
      <c r="E72" s="0" t="s">
        <v>2833</v>
      </c>
      <c r="F72" s="0" t="s">
        <v>2684</v>
      </c>
      <c r="G72" s="0" t="s">
        <v>2834</v>
      </c>
    </row>
    <row customHeight="1" ht="11.25">
      <c r="A73" s="0" t="s">
        <v>14</v>
      </c>
      <c r="B73" s="0" t="s">
        <v>2800</v>
      </c>
      <c r="C73" s="0" t="s">
        <v>2801</v>
      </c>
      <c r="D73" s="0" t="s">
        <v>2835</v>
      </c>
      <c r="E73" s="0" t="s">
        <v>2836</v>
      </c>
      <c r="F73" s="0" t="s">
        <v>2684</v>
      </c>
      <c r="G73" s="0" t="s">
        <v>2837</v>
      </c>
    </row>
    <row customHeight="1" ht="11.25">
      <c r="A74" s="0" t="s">
        <v>14</v>
      </c>
      <c r="B74" s="0" t="s">
        <v>2800</v>
      </c>
      <c r="C74" s="0" t="s">
        <v>2801</v>
      </c>
      <c r="D74" s="0" t="s">
        <v>2838</v>
      </c>
      <c r="E74" s="0" t="s">
        <v>2839</v>
      </c>
      <c r="F74" s="0" t="s">
        <v>2684</v>
      </c>
      <c r="G74" s="0" t="s">
        <v>2840</v>
      </c>
    </row>
    <row customHeight="1" ht="11.25">
      <c r="A75" s="0" t="s">
        <v>14</v>
      </c>
      <c r="B75" s="0" t="s">
        <v>2800</v>
      </c>
      <c r="C75" s="0" t="s">
        <v>2801</v>
      </c>
      <c r="D75" s="0" t="s">
        <v>2841</v>
      </c>
      <c r="E75" s="0" t="s">
        <v>2842</v>
      </c>
      <c r="F75" s="0" t="s">
        <v>2684</v>
      </c>
      <c r="G75" s="0" t="s">
        <v>2843</v>
      </c>
    </row>
    <row customHeight="1" ht="11.25">
      <c r="A76" s="0" t="s">
        <v>14</v>
      </c>
      <c r="B76" s="0" t="s">
        <v>2800</v>
      </c>
      <c r="C76" s="0" t="s">
        <v>2801</v>
      </c>
      <c r="D76" s="0" t="s">
        <v>2844</v>
      </c>
      <c r="E76" s="0" t="s">
        <v>2845</v>
      </c>
      <c r="F76" s="0" t="s">
        <v>2684</v>
      </c>
      <c r="G76" s="0" t="s">
        <v>2846</v>
      </c>
    </row>
    <row customHeight="1" ht="11.25">
      <c r="A77" s="0" t="s">
        <v>14</v>
      </c>
      <c r="B77" s="0" t="s">
        <v>2800</v>
      </c>
      <c r="C77" s="0" t="s">
        <v>2801</v>
      </c>
      <c r="D77" s="0" t="s">
        <v>2847</v>
      </c>
      <c r="E77" s="0" t="s">
        <v>2848</v>
      </c>
      <c r="F77" s="0" t="s">
        <v>2684</v>
      </c>
      <c r="G77" s="0" t="s">
        <v>2849</v>
      </c>
    </row>
    <row customHeight="1" ht="11.25">
      <c r="A78" s="0" t="s">
        <v>14</v>
      </c>
      <c r="B78" s="0" t="s">
        <v>2800</v>
      </c>
      <c r="C78" s="0" t="s">
        <v>2801</v>
      </c>
      <c r="D78" s="0" t="s">
        <v>2850</v>
      </c>
      <c r="E78" s="0" t="s">
        <v>2851</v>
      </c>
      <c r="F78" s="0" t="s">
        <v>2684</v>
      </c>
      <c r="G78" s="0" t="s">
        <v>2852</v>
      </c>
    </row>
    <row customHeight="1" ht="11.25">
      <c r="A79" s="0" t="s">
        <v>14</v>
      </c>
      <c r="B79" s="0" t="s">
        <v>2800</v>
      </c>
      <c r="C79" s="0" t="s">
        <v>2801</v>
      </c>
      <c r="D79" s="0" t="s">
        <v>2853</v>
      </c>
      <c r="E79" s="0" t="s">
        <v>2854</v>
      </c>
      <c r="F79" s="0" t="s">
        <v>2684</v>
      </c>
      <c r="G79" s="0" t="s">
        <v>2855</v>
      </c>
    </row>
    <row customHeight="1" ht="11.25">
      <c r="A80" s="0" t="s">
        <v>14</v>
      </c>
      <c r="B80" s="0" t="s">
        <v>2800</v>
      </c>
      <c r="C80" s="0" t="s">
        <v>2801</v>
      </c>
      <c r="D80" s="0" t="s">
        <v>2856</v>
      </c>
      <c r="E80" s="0" t="s">
        <v>2857</v>
      </c>
      <c r="F80" s="0" t="s">
        <v>2700</v>
      </c>
      <c r="G80" s="0" t="s">
        <v>2858</v>
      </c>
    </row>
    <row customHeight="1" ht="11.25">
      <c r="A81" s="0" t="s">
        <v>14</v>
      </c>
      <c r="B81" s="0" t="s">
        <v>2800</v>
      </c>
      <c r="C81" s="0" t="s">
        <v>2801</v>
      </c>
      <c r="D81" s="0" t="s">
        <v>2859</v>
      </c>
      <c r="E81" s="0" t="s">
        <v>2860</v>
      </c>
      <c r="F81" s="0" t="s">
        <v>2700</v>
      </c>
      <c r="G81" s="0" t="s">
        <v>2861</v>
      </c>
    </row>
    <row customHeight="1" ht="11.25">
      <c r="A82" s="0" t="s">
        <v>14</v>
      </c>
      <c r="B82" s="0" t="s">
        <v>2862</v>
      </c>
      <c r="C82" s="0" t="s">
        <v>2863</v>
      </c>
      <c r="D82" s="0" t="s">
        <v>2864</v>
      </c>
      <c r="E82" s="0" t="s">
        <v>2865</v>
      </c>
      <c r="F82" s="0" t="s">
        <v>2684</v>
      </c>
      <c r="G82" s="0" t="s">
        <v>2866</v>
      </c>
    </row>
    <row customHeight="1" ht="11.25">
      <c r="A83" s="0" t="s">
        <v>14</v>
      </c>
      <c r="B83" s="0" t="s">
        <v>2862</v>
      </c>
      <c r="C83" s="0" t="s">
        <v>2863</v>
      </c>
      <c r="D83" s="0" t="s">
        <v>2867</v>
      </c>
      <c r="E83" s="0" t="s">
        <v>2868</v>
      </c>
      <c r="F83" s="0" t="s">
        <v>2684</v>
      </c>
      <c r="G83" s="0" t="s">
        <v>2869</v>
      </c>
    </row>
    <row customHeight="1" ht="11.25">
      <c r="A84" s="0" t="s">
        <v>14</v>
      </c>
      <c r="B84" s="0" t="s">
        <v>2862</v>
      </c>
      <c r="C84" s="0" t="s">
        <v>2863</v>
      </c>
      <c r="D84" s="0" t="s">
        <v>2870</v>
      </c>
      <c r="E84" s="0" t="s">
        <v>2871</v>
      </c>
      <c r="F84" s="0" t="s">
        <v>2684</v>
      </c>
      <c r="G84" s="0" t="s">
        <v>2872</v>
      </c>
    </row>
    <row customHeight="1" ht="11.25">
      <c r="A85" s="0" t="s">
        <v>14</v>
      </c>
      <c r="B85" s="0" t="s">
        <v>2862</v>
      </c>
      <c r="C85" s="0" t="s">
        <v>2863</v>
      </c>
      <c r="D85" s="0" t="s">
        <v>2862</v>
      </c>
      <c r="E85" s="0" t="s">
        <v>2863</v>
      </c>
      <c r="F85" s="0" t="s">
        <v>2685</v>
      </c>
      <c r="G85" s="0" t="s">
        <v>2873</v>
      </c>
    </row>
    <row customHeight="1" ht="11.25">
      <c r="A86" s="0" t="s">
        <v>14</v>
      </c>
      <c r="B86" s="0" t="s">
        <v>2862</v>
      </c>
      <c r="C86" s="0" t="s">
        <v>2863</v>
      </c>
      <c r="D86" s="0" t="s">
        <v>2874</v>
      </c>
      <c r="E86" s="0" t="s">
        <v>2875</v>
      </c>
      <c r="F86" s="0" t="s">
        <v>2684</v>
      </c>
      <c r="G86" s="0" t="s">
        <v>2876</v>
      </c>
    </row>
    <row customHeight="1" ht="11.25">
      <c r="A87" s="0" t="s">
        <v>14</v>
      </c>
      <c r="B87" s="0" t="s">
        <v>2862</v>
      </c>
      <c r="C87" s="0" t="s">
        <v>2863</v>
      </c>
      <c r="D87" s="0" t="s">
        <v>2877</v>
      </c>
      <c r="E87" s="0" t="s">
        <v>2878</v>
      </c>
      <c r="F87" s="0" t="s">
        <v>2684</v>
      </c>
      <c r="G87" s="0" t="s">
        <v>2879</v>
      </c>
    </row>
    <row customHeight="1" ht="11.25">
      <c r="A88" s="0" t="s">
        <v>14</v>
      </c>
      <c r="B88" s="0" t="s">
        <v>2862</v>
      </c>
      <c r="C88" s="0" t="s">
        <v>2863</v>
      </c>
      <c r="D88" s="0" t="s">
        <v>2880</v>
      </c>
      <c r="E88" s="0" t="s">
        <v>2881</v>
      </c>
      <c r="F88" s="0" t="s">
        <v>2684</v>
      </c>
      <c r="G88" s="0" t="s">
        <v>2882</v>
      </c>
    </row>
    <row customHeight="1" ht="11.25">
      <c r="A89" s="0" t="s">
        <v>14</v>
      </c>
      <c r="B89" s="0" t="s">
        <v>2862</v>
      </c>
      <c r="C89" s="0" t="s">
        <v>2863</v>
      </c>
      <c r="D89" s="0" t="s">
        <v>2883</v>
      </c>
      <c r="E89" s="0" t="s">
        <v>2884</v>
      </c>
      <c r="F89" s="0" t="s">
        <v>2684</v>
      </c>
      <c r="G89" s="0" t="s">
        <v>2885</v>
      </c>
    </row>
    <row customHeight="1" ht="11.25">
      <c r="A90" s="0" t="s">
        <v>14</v>
      </c>
      <c r="B90" s="0" t="s">
        <v>2862</v>
      </c>
      <c r="C90" s="0" t="s">
        <v>2863</v>
      </c>
      <c r="D90" s="0" t="s">
        <v>2886</v>
      </c>
      <c r="E90" s="0" t="s">
        <v>2887</v>
      </c>
      <c r="F90" s="0" t="s">
        <v>2684</v>
      </c>
      <c r="G90" s="0" t="s">
        <v>2888</v>
      </c>
    </row>
    <row customHeight="1" ht="11.25">
      <c r="A91" s="0" t="s">
        <v>14</v>
      </c>
      <c r="B91" s="0" t="s">
        <v>2862</v>
      </c>
      <c r="C91" s="0" t="s">
        <v>2863</v>
      </c>
      <c r="D91" s="0" t="s">
        <v>2889</v>
      </c>
      <c r="E91" s="0" t="s">
        <v>2890</v>
      </c>
      <c r="F91" s="0" t="s">
        <v>2684</v>
      </c>
      <c r="G91" s="0" t="s">
        <v>2891</v>
      </c>
    </row>
    <row customHeight="1" ht="11.25">
      <c r="A92" s="0" t="s">
        <v>14</v>
      </c>
      <c r="B92" s="0" t="s">
        <v>2862</v>
      </c>
      <c r="C92" s="0" t="s">
        <v>2863</v>
      </c>
      <c r="D92" s="0" t="s">
        <v>2892</v>
      </c>
      <c r="E92" s="0" t="s">
        <v>2893</v>
      </c>
      <c r="F92" s="0" t="s">
        <v>2700</v>
      </c>
      <c r="G92" s="0" t="s">
        <v>2894</v>
      </c>
    </row>
    <row customHeight="1" ht="11.25">
      <c r="A93" s="0" t="s">
        <v>14</v>
      </c>
      <c r="B93" s="0" t="s">
        <v>2895</v>
      </c>
      <c r="C93" s="0" t="s">
        <v>2896</v>
      </c>
      <c r="D93" s="0" t="s">
        <v>2897</v>
      </c>
      <c r="E93" s="0" t="s">
        <v>2898</v>
      </c>
      <c r="F93" s="0" t="s">
        <v>2684</v>
      </c>
      <c r="G93" s="0" t="s">
        <v>2899</v>
      </c>
    </row>
    <row customHeight="1" ht="11.25">
      <c r="A94" s="0" t="s">
        <v>14</v>
      </c>
      <c r="B94" s="0" t="s">
        <v>2895</v>
      </c>
      <c r="C94" s="0" t="s">
        <v>2896</v>
      </c>
      <c r="D94" s="0" t="s">
        <v>2895</v>
      </c>
      <c r="E94" s="0" t="s">
        <v>2896</v>
      </c>
      <c r="F94" s="0" t="s">
        <v>2685</v>
      </c>
      <c r="G94" s="0" t="s">
        <v>2900</v>
      </c>
    </row>
    <row customHeight="1" ht="11.25">
      <c r="A95" s="0" t="s">
        <v>14</v>
      </c>
      <c r="B95" s="0" t="s">
        <v>2895</v>
      </c>
      <c r="C95" s="0" t="s">
        <v>2896</v>
      </c>
      <c r="D95" s="0" t="s">
        <v>2901</v>
      </c>
      <c r="E95" s="0" t="s">
        <v>2902</v>
      </c>
      <c r="F95" s="0" t="s">
        <v>2684</v>
      </c>
      <c r="G95" s="0" t="s">
        <v>2903</v>
      </c>
    </row>
    <row customHeight="1" ht="11.25">
      <c r="A96" s="0" t="s">
        <v>14</v>
      </c>
      <c r="B96" s="0" t="s">
        <v>2895</v>
      </c>
      <c r="C96" s="0" t="s">
        <v>2896</v>
      </c>
      <c r="D96" s="0" t="s">
        <v>2904</v>
      </c>
      <c r="E96" s="0" t="s">
        <v>2905</v>
      </c>
      <c r="F96" s="0" t="s">
        <v>2684</v>
      </c>
      <c r="G96" s="0" t="s">
        <v>2906</v>
      </c>
    </row>
    <row customHeight="1" ht="11.25">
      <c r="A97" s="0" t="s">
        <v>14</v>
      </c>
      <c r="B97" s="0" t="s">
        <v>2895</v>
      </c>
      <c r="C97" s="0" t="s">
        <v>2896</v>
      </c>
      <c r="D97" s="0" t="s">
        <v>2907</v>
      </c>
      <c r="E97" s="0" t="s">
        <v>2908</v>
      </c>
      <c r="F97" s="0" t="s">
        <v>2684</v>
      </c>
      <c r="G97" s="0" t="s">
        <v>2909</v>
      </c>
    </row>
    <row customHeight="1" ht="11.25">
      <c r="A98" s="0" t="s">
        <v>14</v>
      </c>
      <c r="B98" s="0" t="s">
        <v>2895</v>
      </c>
      <c r="C98" s="0" t="s">
        <v>2896</v>
      </c>
      <c r="D98" s="0" t="s">
        <v>2910</v>
      </c>
      <c r="E98" s="0" t="s">
        <v>2911</v>
      </c>
      <c r="F98" s="0" t="s">
        <v>2700</v>
      </c>
      <c r="G98" s="0" t="s">
        <v>2912</v>
      </c>
    </row>
    <row customHeight="1" ht="11.25">
      <c r="A99" s="0" t="s">
        <v>14</v>
      </c>
      <c r="B99" s="0" t="s">
        <v>2913</v>
      </c>
      <c r="C99" s="0" t="s">
        <v>2914</v>
      </c>
      <c r="D99" s="0" t="s">
        <v>2915</v>
      </c>
      <c r="E99" s="0" t="s">
        <v>2916</v>
      </c>
      <c r="F99" s="0" t="s">
        <v>2684</v>
      </c>
      <c r="G99" s="0" t="s">
        <v>2917</v>
      </c>
    </row>
    <row customHeight="1" ht="11.25">
      <c r="A100" s="0" t="s">
        <v>14</v>
      </c>
      <c r="B100" s="0" t="s">
        <v>2913</v>
      </c>
      <c r="C100" s="0" t="s">
        <v>2914</v>
      </c>
      <c r="D100" s="0" t="s">
        <v>2918</v>
      </c>
      <c r="E100" s="0" t="s">
        <v>2919</v>
      </c>
      <c r="F100" s="0" t="s">
        <v>2684</v>
      </c>
      <c r="G100" s="0" t="s">
        <v>2920</v>
      </c>
    </row>
    <row customHeight="1" ht="11.25">
      <c r="A101" s="0" t="s">
        <v>14</v>
      </c>
      <c r="B101" s="0" t="s">
        <v>2913</v>
      </c>
      <c r="C101" s="0" t="s">
        <v>2914</v>
      </c>
      <c r="D101" s="0" t="s">
        <v>2921</v>
      </c>
      <c r="E101" s="0" t="s">
        <v>2922</v>
      </c>
      <c r="F101" s="0" t="s">
        <v>2684</v>
      </c>
      <c r="G101" s="0" t="s">
        <v>2923</v>
      </c>
    </row>
    <row customHeight="1" ht="11.25">
      <c r="A102" s="0" t="s">
        <v>14</v>
      </c>
      <c r="B102" s="0" t="s">
        <v>2913</v>
      </c>
      <c r="C102" s="0" t="s">
        <v>2914</v>
      </c>
      <c r="D102" s="0" t="s">
        <v>2924</v>
      </c>
      <c r="E102" s="0" t="s">
        <v>2925</v>
      </c>
      <c r="F102" s="0" t="s">
        <v>2684</v>
      </c>
      <c r="G102" s="0" t="s">
        <v>2926</v>
      </c>
    </row>
    <row customHeight="1" ht="11.25">
      <c r="A103" s="0" t="s">
        <v>14</v>
      </c>
      <c r="B103" s="0" t="s">
        <v>2913</v>
      </c>
      <c r="C103" s="0" t="s">
        <v>2914</v>
      </c>
      <c r="D103" s="0" t="s">
        <v>2927</v>
      </c>
      <c r="E103" s="0" t="s">
        <v>2928</v>
      </c>
      <c r="F103" s="0" t="s">
        <v>2684</v>
      </c>
      <c r="G103" s="0" t="s">
        <v>2929</v>
      </c>
    </row>
    <row customHeight="1" ht="11.25">
      <c r="A104" s="0" t="s">
        <v>14</v>
      </c>
      <c r="B104" s="0" t="s">
        <v>2913</v>
      </c>
      <c r="C104" s="0" t="s">
        <v>2914</v>
      </c>
      <c r="D104" s="0" t="s">
        <v>2913</v>
      </c>
      <c r="E104" s="0" t="s">
        <v>2914</v>
      </c>
      <c r="F104" s="0" t="s">
        <v>2685</v>
      </c>
      <c r="G104" s="0" t="s">
        <v>2930</v>
      </c>
    </row>
    <row customHeight="1" ht="11.25">
      <c r="A105" s="0" t="s">
        <v>14</v>
      </c>
      <c r="B105" s="0" t="s">
        <v>2913</v>
      </c>
      <c r="C105" s="0" t="s">
        <v>2914</v>
      </c>
      <c r="D105" s="0" t="s">
        <v>2931</v>
      </c>
      <c r="E105" s="0" t="s">
        <v>2932</v>
      </c>
      <c r="F105" s="0" t="s">
        <v>2684</v>
      </c>
      <c r="G105" s="0" t="s">
        <v>2933</v>
      </c>
    </row>
    <row customHeight="1" ht="11.25">
      <c r="A106" s="0" t="s">
        <v>14</v>
      </c>
      <c r="B106" s="0" t="s">
        <v>2913</v>
      </c>
      <c r="C106" s="0" t="s">
        <v>2914</v>
      </c>
      <c r="D106" s="0" t="s">
        <v>2934</v>
      </c>
      <c r="E106" s="0" t="s">
        <v>2935</v>
      </c>
      <c r="F106" s="0" t="s">
        <v>2684</v>
      </c>
      <c r="G106" s="0" t="s">
        <v>2936</v>
      </c>
    </row>
    <row customHeight="1" ht="11.25">
      <c r="A107" s="0" t="s">
        <v>14</v>
      </c>
      <c r="B107" s="0" t="s">
        <v>2913</v>
      </c>
      <c r="C107" s="0" t="s">
        <v>2914</v>
      </c>
      <c r="D107" s="0" t="s">
        <v>2937</v>
      </c>
      <c r="E107" s="0" t="s">
        <v>2938</v>
      </c>
      <c r="F107" s="0" t="s">
        <v>2684</v>
      </c>
      <c r="G107" s="0" t="s">
        <v>2939</v>
      </c>
    </row>
    <row customHeight="1" ht="11.25">
      <c r="A108" s="0" t="s">
        <v>14</v>
      </c>
      <c r="B108" s="0" t="s">
        <v>2913</v>
      </c>
      <c r="C108" s="0" t="s">
        <v>2914</v>
      </c>
      <c r="D108" s="0" t="s">
        <v>2940</v>
      </c>
      <c r="E108" s="0" t="s">
        <v>2941</v>
      </c>
      <c r="F108" s="0" t="s">
        <v>2684</v>
      </c>
      <c r="G108" s="0" t="s">
        <v>2942</v>
      </c>
    </row>
    <row customHeight="1" ht="11.25">
      <c r="A109" s="0" t="s">
        <v>14</v>
      </c>
      <c r="B109" s="0" t="s">
        <v>2913</v>
      </c>
      <c r="C109" s="0" t="s">
        <v>2914</v>
      </c>
      <c r="D109" s="0" t="s">
        <v>2943</v>
      </c>
      <c r="E109" s="0" t="s">
        <v>2944</v>
      </c>
      <c r="F109" s="0" t="s">
        <v>2684</v>
      </c>
      <c r="G109" s="0" t="s">
        <v>2945</v>
      </c>
    </row>
    <row customHeight="1" ht="11.25">
      <c r="A110" s="0" t="s">
        <v>14</v>
      </c>
      <c r="B110" s="0" t="s">
        <v>2913</v>
      </c>
      <c r="C110" s="0" t="s">
        <v>2914</v>
      </c>
      <c r="D110" s="0" t="s">
        <v>2946</v>
      </c>
      <c r="E110" s="0" t="s">
        <v>2947</v>
      </c>
      <c r="F110" s="0" t="s">
        <v>2700</v>
      </c>
      <c r="G110" s="0" t="s">
        <v>2948</v>
      </c>
    </row>
    <row customHeight="1" ht="11.25">
      <c r="A111" s="0" t="s">
        <v>14</v>
      </c>
      <c r="B111" s="0" t="s">
        <v>2949</v>
      </c>
      <c r="C111" s="0" t="s">
        <v>2950</v>
      </c>
      <c r="D111" s="0" t="s">
        <v>2951</v>
      </c>
      <c r="E111" s="0" t="s">
        <v>2952</v>
      </c>
      <c r="F111" s="0" t="s">
        <v>2684</v>
      </c>
      <c r="G111" s="0" t="s">
        <v>2953</v>
      </c>
    </row>
    <row customHeight="1" ht="11.25">
      <c r="A112" s="0" t="s">
        <v>14</v>
      </c>
      <c r="B112" s="0" t="s">
        <v>2949</v>
      </c>
      <c r="C112" s="0" t="s">
        <v>2950</v>
      </c>
      <c r="D112" s="0" t="s">
        <v>2954</v>
      </c>
      <c r="E112" s="0" t="s">
        <v>2955</v>
      </c>
      <c r="F112" s="0" t="s">
        <v>2684</v>
      </c>
      <c r="G112" s="0" t="s">
        <v>2956</v>
      </c>
    </row>
    <row customHeight="1" ht="11.25">
      <c r="A113" s="0" t="s">
        <v>14</v>
      </c>
      <c r="B113" s="0" t="s">
        <v>2949</v>
      </c>
      <c r="C113" s="0" t="s">
        <v>2950</v>
      </c>
      <c r="D113" s="0" t="s">
        <v>2957</v>
      </c>
      <c r="E113" s="0" t="s">
        <v>2958</v>
      </c>
      <c r="F113" s="0" t="s">
        <v>2684</v>
      </c>
      <c r="G113" s="0" t="s">
        <v>2959</v>
      </c>
    </row>
    <row customHeight="1" ht="11.25">
      <c r="A114" s="0" t="s">
        <v>14</v>
      </c>
      <c r="B114" s="0" t="s">
        <v>2949</v>
      </c>
      <c r="C114" s="0" t="s">
        <v>2950</v>
      </c>
      <c r="D114" s="0" t="s">
        <v>2960</v>
      </c>
      <c r="E114" s="0" t="s">
        <v>2961</v>
      </c>
      <c r="F114" s="0" t="s">
        <v>2684</v>
      </c>
      <c r="G114" s="0" t="s">
        <v>2962</v>
      </c>
    </row>
    <row customHeight="1" ht="11.25">
      <c r="A115" s="0" t="s">
        <v>14</v>
      </c>
      <c r="B115" s="0" t="s">
        <v>2949</v>
      </c>
      <c r="C115" s="0" t="s">
        <v>2950</v>
      </c>
      <c r="D115" s="0" t="s">
        <v>2963</v>
      </c>
      <c r="E115" s="0" t="s">
        <v>2964</v>
      </c>
      <c r="F115" s="0" t="s">
        <v>2684</v>
      </c>
      <c r="G115" s="0" t="s">
        <v>2965</v>
      </c>
    </row>
    <row customHeight="1" ht="11.25">
      <c r="A116" s="0" t="s">
        <v>14</v>
      </c>
      <c r="B116" s="0" t="s">
        <v>2949</v>
      </c>
      <c r="C116" s="0" t="s">
        <v>2950</v>
      </c>
      <c r="D116" s="0" t="s">
        <v>2949</v>
      </c>
      <c r="E116" s="0" t="s">
        <v>2950</v>
      </c>
      <c r="F116" s="0" t="s">
        <v>2685</v>
      </c>
      <c r="G116" s="0" t="s">
        <v>2966</v>
      </c>
    </row>
    <row customHeight="1" ht="11.25">
      <c r="A117" s="0" t="s">
        <v>14</v>
      </c>
      <c r="B117" s="0" t="s">
        <v>2949</v>
      </c>
      <c r="C117" s="0" t="s">
        <v>2950</v>
      </c>
      <c r="D117" s="0" t="s">
        <v>2967</v>
      </c>
      <c r="E117" s="0" t="s">
        <v>2968</v>
      </c>
      <c r="F117" s="0" t="s">
        <v>2684</v>
      </c>
      <c r="G117" s="0" t="s">
        <v>2969</v>
      </c>
    </row>
    <row customHeight="1" ht="11.25">
      <c r="A118" s="0" t="s">
        <v>14</v>
      </c>
      <c r="B118" s="0" t="s">
        <v>2949</v>
      </c>
      <c r="C118" s="0" t="s">
        <v>2950</v>
      </c>
      <c r="D118" s="0" t="s">
        <v>2970</v>
      </c>
      <c r="E118" s="0" t="s">
        <v>2971</v>
      </c>
      <c r="F118" s="0" t="s">
        <v>2684</v>
      </c>
      <c r="G118" s="0" t="s">
        <v>2972</v>
      </c>
    </row>
    <row customHeight="1" ht="11.25">
      <c r="A119" s="0" t="s">
        <v>14</v>
      </c>
      <c r="B119" s="0" t="s">
        <v>2949</v>
      </c>
      <c r="C119" s="0" t="s">
        <v>2950</v>
      </c>
      <c r="D119" s="0" t="s">
        <v>2973</v>
      </c>
      <c r="E119" s="0" t="s">
        <v>2974</v>
      </c>
      <c r="F119" s="0" t="s">
        <v>2684</v>
      </c>
      <c r="G119" s="0" t="s">
        <v>2975</v>
      </c>
    </row>
    <row customHeight="1" ht="11.25">
      <c r="A120" s="0" t="s">
        <v>14</v>
      </c>
      <c r="B120" s="0" t="s">
        <v>2949</v>
      </c>
      <c r="C120" s="0" t="s">
        <v>2950</v>
      </c>
      <c r="D120" s="0" t="s">
        <v>2976</v>
      </c>
      <c r="E120" s="0" t="s">
        <v>2977</v>
      </c>
      <c r="F120" s="0" t="s">
        <v>2700</v>
      </c>
      <c r="G120" s="0" t="s">
        <v>2978</v>
      </c>
    </row>
    <row customHeight="1" ht="11.25">
      <c r="A121" s="0" t="s">
        <v>14</v>
      </c>
      <c r="B121" s="0" t="s">
        <v>2979</v>
      </c>
      <c r="C121" s="0" t="s">
        <v>2980</v>
      </c>
      <c r="D121" s="0" t="s">
        <v>2981</v>
      </c>
      <c r="E121" s="0" t="s">
        <v>2982</v>
      </c>
      <c r="F121" s="0" t="s">
        <v>2684</v>
      </c>
      <c r="G121" s="0" t="s">
        <v>2983</v>
      </c>
    </row>
    <row customHeight="1" ht="11.25">
      <c r="A122" s="0" t="s">
        <v>14</v>
      </c>
      <c r="B122" s="0" t="s">
        <v>2979</v>
      </c>
      <c r="C122" s="0" t="s">
        <v>2980</v>
      </c>
      <c r="D122" s="0" t="s">
        <v>2984</v>
      </c>
      <c r="E122" s="0" t="s">
        <v>2985</v>
      </c>
      <c r="F122" s="0" t="s">
        <v>2684</v>
      </c>
      <c r="G122" s="0" t="s">
        <v>2986</v>
      </c>
    </row>
    <row customHeight="1" ht="11.25">
      <c r="A123" s="0" t="s">
        <v>14</v>
      </c>
      <c r="B123" s="0" t="s">
        <v>2979</v>
      </c>
      <c r="C123" s="0" t="s">
        <v>2980</v>
      </c>
      <c r="D123" s="0" t="s">
        <v>2987</v>
      </c>
      <c r="E123" s="0" t="s">
        <v>2988</v>
      </c>
      <c r="F123" s="0" t="s">
        <v>2684</v>
      </c>
      <c r="G123" s="0" t="s">
        <v>2989</v>
      </c>
    </row>
    <row customHeight="1" ht="11.25">
      <c r="A124" s="0" t="s">
        <v>14</v>
      </c>
      <c r="B124" s="0" t="s">
        <v>2979</v>
      </c>
      <c r="C124" s="0" t="s">
        <v>2980</v>
      </c>
      <c r="D124" s="0" t="s">
        <v>2990</v>
      </c>
      <c r="E124" s="0" t="s">
        <v>2991</v>
      </c>
      <c r="F124" s="0" t="s">
        <v>2684</v>
      </c>
      <c r="G124" s="0" t="s">
        <v>2992</v>
      </c>
    </row>
    <row customHeight="1" ht="11.25">
      <c r="A125" s="0" t="s">
        <v>14</v>
      </c>
      <c r="B125" s="0" t="s">
        <v>2979</v>
      </c>
      <c r="C125" s="0" t="s">
        <v>2980</v>
      </c>
      <c r="D125" s="0" t="s">
        <v>2993</v>
      </c>
      <c r="E125" s="0" t="s">
        <v>2994</v>
      </c>
      <c r="F125" s="0" t="s">
        <v>2684</v>
      </c>
      <c r="G125" s="0" t="s">
        <v>2995</v>
      </c>
    </row>
    <row customHeight="1" ht="11.25">
      <c r="A126" s="0" t="s">
        <v>14</v>
      </c>
      <c r="B126" s="0" t="s">
        <v>2979</v>
      </c>
      <c r="C126" s="0" t="s">
        <v>2980</v>
      </c>
      <c r="D126" s="0" t="s">
        <v>2996</v>
      </c>
      <c r="E126" s="0" t="s">
        <v>2997</v>
      </c>
      <c r="F126" s="0" t="s">
        <v>2684</v>
      </c>
      <c r="G126" s="0" t="s">
        <v>2998</v>
      </c>
    </row>
    <row customHeight="1" ht="11.25">
      <c r="A127" s="0" t="s">
        <v>14</v>
      </c>
      <c r="B127" s="0" t="s">
        <v>2979</v>
      </c>
      <c r="C127" s="0" t="s">
        <v>2980</v>
      </c>
      <c r="D127" s="0" t="s">
        <v>2999</v>
      </c>
      <c r="E127" s="0" t="s">
        <v>3000</v>
      </c>
      <c r="F127" s="0" t="s">
        <v>2684</v>
      </c>
      <c r="G127" s="0" t="s">
        <v>3001</v>
      </c>
    </row>
    <row customHeight="1" ht="11.25">
      <c r="A128" s="0" t="s">
        <v>14</v>
      </c>
      <c r="B128" s="0" t="s">
        <v>2979</v>
      </c>
      <c r="C128" s="0" t="s">
        <v>2980</v>
      </c>
      <c r="D128" s="0" t="s">
        <v>2979</v>
      </c>
      <c r="E128" s="0" t="s">
        <v>2980</v>
      </c>
      <c r="F128" s="0" t="s">
        <v>2685</v>
      </c>
      <c r="G128" s="0" t="s">
        <v>3002</v>
      </c>
    </row>
    <row customHeight="1" ht="11.25">
      <c r="A129" s="0" t="s">
        <v>14</v>
      </c>
      <c r="B129" s="0" t="s">
        <v>2979</v>
      </c>
      <c r="C129" s="0" t="s">
        <v>2980</v>
      </c>
      <c r="D129" s="0" t="s">
        <v>3003</v>
      </c>
      <c r="E129" s="0" t="s">
        <v>3004</v>
      </c>
      <c r="F129" s="0" t="s">
        <v>2684</v>
      </c>
      <c r="G129" s="0" t="s">
        <v>3005</v>
      </c>
    </row>
    <row customHeight="1" ht="11.25">
      <c r="A130" s="0" t="s">
        <v>14</v>
      </c>
      <c r="B130" s="0" t="s">
        <v>2979</v>
      </c>
      <c r="C130" s="0" t="s">
        <v>2980</v>
      </c>
      <c r="D130" s="0" t="s">
        <v>3006</v>
      </c>
      <c r="E130" s="0" t="s">
        <v>3007</v>
      </c>
      <c r="F130" s="0" t="s">
        <v>2700</v>
      </c>
      <c r="G130" s="0" t="s">
        <v>3008</v>
      </c>
    </row>
    <row customHeight="1" ht="11.25">
      <c r="A131" s="0" t="s">
        <v>14</v>
      </c>
      <c r="B131" s="0" t="s">
        <v>3009</v>
      </c>
      <c r="C131" s="0" t="s">
        <v>3010</v>
      </c>
      <c r="D131" s="0" t="s">
        <v>3011</v>
      </c>
      <c r="E131" s="0" t="s">
        <v>3012</v>
      </c>
      <c r="F131" s="0" t="s">
        <v>2684</v>
      </c>
      <c r="G131" s="0" t="s">
        <v>3013</v>
      </c>
    </row>
    <row customHeight="1" ht="11.25">
      <c r="A132" s="0" t="s">
        <v>14</v>
      </c>
      <c r="B132" s="0" t="s">
        <v>3009</v>
      </c>
      <c r="C132" s="0" t="s">
        <v>3010</v>
      </c>
      <c r="D132" s="0" t="s">
        <v>3014</v>
      </c>
      <c r="E132" s="0" t="s">
        <v>3015</v>
      </c>
      <c r="F132" s="0" t="s">
        <v>2684</v>
      </c>
      <c r="G132" s="0" t="s">
        <v>3016</v>
      </c>
    </row>
    <row customHeight="1" ht="11.25">
      <c r="A133" s="0" t="s">
        <v>14</v>
      </c>
      <c r="B133" s="0" t="s">
        <v>3009</v>
      </c>
      <c r="C133" s="0" t="s">
        <v>3010</v>
      </c>
      <c r="D133" s="0" t="s">
        <v>3017</v>
      </c>
      <c r="E133" s="0" t="s">
        <v>3018</v>
      </c>
      <c r="F133" s="0" t="s">
        <v>2684</v>
      </c>
      <c r="G133" s="0" t="s">
        <v>3019</v>
      </c>
    </row>
    <row customHeight="1" ht="11.25">
      <c r="A134" s="0" t="s">
        <v>14</v>
      </c>
      <c r="B134" s="0" t="s">
        <v>3009</v>
      </c>
      <c r="C134" s="0" t="s">
        <v>3010</v>
      </c>
      <c r="D134" s="0" t="s">
        <v>3020</v>
      </c>
      <c r="E134" s="0" t="s">
        <v>3021</v>
      </c>
      <c r="F134" s="0" t="s">
        <v>2684</v>
      </c>
      <c r="G134" s="0" t="s">
        <v>3022</v>
      </c>
    </row>
    <row customHeight="1" ht="11.25">
      <c r="A135" s="0" t="s">
        <v>14</v>
      </c>
      <c r="B135" s="0" t="s">
        <v>3009</v>
      </c>
      <c r="C135" s="0" t="s">
        <v>3010</v>
      </c>
      <c r="D135" s="0" t="s">
        <v>3023</v>
      </c>
      <c r="E135" s="0" t="s">
        <v>3024</v>
      </c>
      <c r="F135" s="0" t="s">
        <v>2684</v>
      </c>
      <c r="G135" s="0" t="s">
        <v>3025</v>
      </c>
    </row>
    <row customHeight="1" ht="11.25">
      <c r="A136" s="0" t="s">
        <v>14</v>
      </c>
      <c r="B136" s="0" t="s">
        <v>3009</v>
      </c>
      <c r="C136" s="0" t="s">
        <v>3010</v>
      </c>
      <c r="D136" s="0" t="s">
        <v>3026</v>
      </c>
      <c r="E136" s="0" t="s">
        <v>3027</v>
      </c>
      <c r="F136" s="0" t="s">
        <v>2684</v>
      </c>
      <c r="G136" s="0" t="s">
        <v>3028</v>
      </c>
    </row>
    <row customHeight="1" ht="11.25">
      <c r="A137" s="0" t="s">
        <v>14</v>
      </c>
      <c r="B137" s="0" t="s">
        <v>3009</v>
      </c>
      <c r="C137" s="0" t="s">
        <v>3010</v>
      </c>
      <c r="D137" s="0" t="s">
        <v>3009</v>
      </c>
      <c r="E137" s="0" t="s">
        <v>3010</v>
      </c>
      <c r="F137" s="0" t="s">
        <v>2685</v>
      </c>
      <c r="G137" s="0" t="s">
        <v>3029</v>
      </c>
    </row>
    <row customHeight="1" ht="11.25">
      <c r="A138" s="0" t="s">
        <v>14</v>
      </c>
      <c r="B138" s="0" t="s">
        <v>3009</v>
      </c>
      <c r="C138" s="0" t="s">
        <v>3010</v>
      </c>
      <c r="D138" s="0" t="s">
        <v>3030</v>
      </c>
      <c r="E138" s="0" t="s">
        <v>3031</v>
      </c>
      <c r="F138" s="0" t="s">
        <v>2684</v>
      </c>
      <c r="G138" s="0" t="s">
        <v>3032</v>
      </c>
    </row>
    <row customHeight="1" ht="11.25">
      <c r="A139" s="0" t="s">
        <v>14</v>
      </c>
      <c r="B139" s="0" t="s">
        <v>3009</v>
      </c>
      <c r="C139" s="0" t="s">
        <v>3010</v>
      </c>
      <c r="D139" s="0" t="s">
        <v>3033</v>
      </c>
      <c r="E139" s="0" t="s">
        <v>3034</v>
      </c>
      <c r="F139" s="0" t="s">
        <v>2700</v>
      </c>
      <c r="G139" s="0" t="s">
        <v>3035</v>
      </c>
    </row>
    <row customHeight="1" ht="11.25">
      <c r="A140" s="0" t="s">
        <v>14</v>
      </c>
      <c r="B140" s="0" t="s">
        <v>3036</v>
      </c>
      <c r="C140" s="0" t="s">
        <v>3037</v>
      </c>
      <c r="D140" s="0" t="s">
        <v>3038</v>
      </c>
      <c r="E140" s="0" t="s">
        <v>3039</v>
      </c>
      <c r="F140" s="0" t="s">
        <v>2684</v>
      </c>
      <c r="G140" s="0" t="s">
        <v>3040</v>
      </c>
    </row>
    <row customHeight="1" ht="11.25">
      <c r="A141" s="0" t="s">
        <v>14</v>
      </c>
      <c r="B141" s="0" t="s">
        <v>3036</v>
      </c>
      <c r="C141" s="0" t="s">
        <v>3037</v>
      </c>
      <c r="D141" s="0" t="s">
        <v>3041</v>
      </c>
      <c r="E141" s="0" t="s">
        <v>3042</v>
      </c>
      <c r="F141" s="0" t="s">
        <v>2684</v>
      </c>
      <c r="G141" s="0" t="s">
        <v>3043</v>
      </c>
    </row>
    <row customHeight="1" ht="11.25">
      <c r="A142" s="0" t="s">
        <v>14</v>
      </c>
      <c r="B142" s="0" t="s">
        <v>3036</v>
      </c>
      <c r="C142" s="0" t="s">
        <v>3037</v>
      </c>
      <c r="D142" s="0" t="s">
        <v>3044</v>
      </c>
      <c r="E142" s="0" t="s">
        <v>3045</v>
      </c>
      <c r="F142" s="0" t="s">
        <v>2684</v>
      </c>
      <c r="G142" s="0" t="s">
        <v>3046</v>
      </c>
    </row>
    <row customHeight="1" ht="11.25">
      <c r="A143" s="0" t="s">
        <v>14</v>
      </c>
      <c r="B143" s="0" t="s">
        <v>3036</v>
      </c>
      <c r="C143" s="0" t="s">
        <v>3037</v>
      </c>
      <c r="D143" s="0" t="s">
        <v>3047</v>
      </c>
      <c r="E143" s="0" t="s">
        <v>3048</v>
      </c>
      <c r="F143" s="0" t="s">
        <v>2684</v>
      </c>
      <c r="G143" s="0" t="s">
        <v>3049</v>
      </c>
    </row>
    <row customHeight="1" ht="11.25">
      <c r="A144" s="0" t="s">
        <v>14</v>
      </c>
      <c r="B144" s="0" t="s">
        <v>3036</v>
      </c>
      <c r="C144" s="0" t="s">
        <v>3037</v>
      </c>
      <c r="D144" s="0" t="s">
        <v>3050</v>
      </c>
      <c r="E144" s="0" t="s">
        <v>3051</v>
      </c>
      <c r="F144" s="0" t="s">
        <v>2684</v>
      </c>
      <c r="G144" s="0" t="s">
        <v>3052</v>
      </c>
    </row>
    <row customHeight="1" ht="11.25">
      <c r="A145" s="0" t="s">
        <v>14</v>
      </c>
      <c r="B145" s="0" t="s">
        <v>3036</v>
      </c>
      <c r="C145" s="0" t="s">
        <v>3037</v>
      </c>
      <c r="D145" s="0" t="s">
        <v>3036</v>
      </c>
      <c r="E145" s="0" t="s">
        <v>3037</v>
      </c>
      <c r="F145" s="0" t="s">
        <v>2685</v>
      </c>
      <c r="G145" s="0" t="s">
        <v>3053</v>
      </c>
    </row>
    <row customHeight="1" ht="11.25">
      <c r="A146" s="0" t="s">
        <v>14</v>
      </c>
      <c r="B146" s="0" t="s">
        <v>3036</v>
      </c>
      <c r="C146" s="0" t="s">
        <v>3037</v>
      </c>
      <c r="D146" s="0" t="s">
        <v>3054</v>
      </c>
      <c r="E146" s="0" t="s">
        <v>3055</v>
      </c>
      <c r="F146" s="0" t="s">
        <v>2684</v>
      </c>
      <c r="G146" s="0" t="s">
        <v>3056</v>
      </c>
    </row>
    <row customHeight="1" ht="11.25">
      <c r="A147" s="0" t="s">
        <v>14</v>
      </c>
      <c r="B147" s="0" t="s">
        <v>3036</v>
      </c>
      <c r="C147" s="0" t="s">
        <v>3037</v>
      </c>
      <c r="D147" s="0" t="s">
        <v>3057</v>
      </c>
      <c r="E147" s="0" t="s">
        <v>3058</v>
      </c>
      <c r="F147" s="0" t="s">
        <v>2700</v>
      </c>
      <c r="G147" s="0" t="s">
        <v>3059</v>
      </c>
    </row>
    <row customHeight="1" ht="11.25">
      <c r="A148" s="0" t="s">
        <v>14</v>
      </c>
      <c r="B148" s="0" t="s">
        <v>3060</v>
      </c>
      <c r="C148" s="0" t="s">
        <v>3061</v>
      </c>
      <c r="D148" s="0" t="s">
        <v>3060</v>
      </c>
      <c r="E148" s="0" t="s">
        <v>3061</v>
      </c>
      <c r="F148" s="0" t="s">
        <v>3062</v>
      </c>
      <c r="G148" s="0" t="s">
        <v>3063</v>
      </c>
    </row>
    <row customHeight="1" ht="11.25">
      <c r="A149" s="0" t="s">
        <v>14</v>
      </c>
      <c r="B149" s="0" t="s">
        <v>98</v>
      </c>
      <c r="C149" s="0" t="s">
        <v>99</v>
      </c>
      <c r="D149" s="0" t="s">
        <v>98</v>
      </c>
      <c r="E149" s="0" t="s">
        <v>99</v>
      </c>
      <c r="F149" s="0" t="s">
        <v>3062</v>
      </c>
      <c r="G149" s="0" t="s">
        <v>97</v>
      </c>
    </row>
    <row customHeight="1" ht="11.25">
      <c r="A150" s="0" t="s">
        <v>14</v>
      </c>
      <c r="B150" s="0" t="s">
        <v>3064</v>
      </c>
      <c r="C150" s="0" t="s">
        <v>3065</v>
      </c>
      <c r="D150" s="0" t="s">
        <v>3064</v>
      </c>
      <c r="E150" s="0" t="s">
        <v>3065</v>
      </c>
      <c r="F150" s="0" t="s">
        <v>3062</v>
      </c>
      <c r="G150" s="0" t="s">
        <v>3066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B3D6D-9715-47E9-EB85-5694159570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911" width="9.140625"/>
    <col min="2" max="2" style="5911" width="84.28125" customWidth="1"/>
    <col min="3" max="3" style="5911" width="9.140625"/>
  </cols>
  <sheetData>
    <row customHeight="1" ht="11.25">
      <c r="A1" s="841" t="s">
        <v>3092</v>
      </c>
      <c r="B1" s="841" t="s">
        <v>3093</v>
      </c>
      <c r="C1" s="841" t="s">
        <v>1172</v>
      </c>
    </row>
    <row customHeight="1" ht="11.25">
      <c r="A2" s="841">
        <v>4189678</v>
      </c>
      <c r="B2" s="841" t="s">
        <v>3094</v>
      </c>
      <c r="C2" s="841" t="s">
        <v>3095</v>
      </c>
    </row>
    <row customHeight="1" ht="11.25">
      <c r="A3" s="841">
        <v>4190415</v>
      </c>
      <c r="B3" s="841" t="s">
        <v>3096</v>
      </c>
      <c r="C3" s="841" t="s">
        <v>3095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9AA8B-4218-2752-895D-C227D9F3E3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916" width="38.421875" customWidth="1"/>
    <col min="2" max="5" style="5916" width="9.140625"/>
  </cols>
  <sheetData>
    <row customHeight="1" ht="15">
      <c r="A1" s="149" t="s">
        <v>3097</v>
      </c>
      <c r="B1" s="149" t="s">
        <v>3098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B9FB3-7377-9F91-FA4E-0B19EF1FF83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3099</v>
      </c>
      <c r="B1" s="0" t="b">
        <v>1</v>
      </c>
    </row>
    <row customHeight="1" ht="11.25">
      <c r="A2" s="0" t="s">
        <v>3100</v>
      </c>
      <c r="B2" s="0" t="b">
        <v>0</v>
      </c>
    </row>
    <row customHeight="1" ht="11.25">
      <c r="A3" s="0" t="s">
        <v>3101</v>
      </c>
      <c r="B3" s="0" t="b">
        <v>0</v>
      </c>
    </row>
    <row customHeight="1" ht="11.25">
      <c r="A4" s="0" t="s">
        <v>3102</v>
      </c>
      <c r="B4" s="0" t="b">
        <v>0</v>
      </c>
    </row>
    <row customHeight="1" ht="11.25">
      <c r="A5" s="0" t="s">
        <v>3103</v>
      </c>
      <c r="B5" s="0" t="b">
        <v>1</v>
      </c>
    </row>
    <row customHeight="1" ht="11.25">
      <c r="A6" s="0" t="s">
        <v>3104</v>
      </c>
      <c r="B6" s="0" t="b">
        <v>0</v>
      </c>
    </row>
    <row customHeight="1" ht="11.25">
      <c r="A7" s="0" t="s">
        <v>3105</v>
      </c>
      <c r="B7" s="0" t="b">
        <v>0</v>
      </c>
    </row>
    <row customHeight="1" ht="11.25">
      <c r="A8" s="0" t="s">
        <v>3106</v>
      </c>
      <c r="B8" s="0" t="b">
        <v>0</v>
      </c>
    </row>
    <row customHeight="1" ht="11.25">
      <c r="A9" s="0" t="s">
        <v>3107</v>
      </c>
      <c r="B9" s="0" t="b">
        <v>1</v>
      </c>
    </row>
    <row customHeight="1" ht="11.25">
      <c r="A10" s="0" t="s">
        <v>3108</v>
      </c>
      <c r="B10" s="0" t="b">
        <v>0</v>
      </c>
    </row>
    <row customHeight="1" ht="11.25">
      <c r="A11" s="0" t="s">
        <v>3109</v>
      </c>
      <c r="B11" s="0" t="b">
        <v>0</v>
      </c>
    </row>
    <row customHeight="1" ht="11.25">
      <c r="A12" s="0" t="s">
        <v>3110</v>
      </c>
      <c r="B12" s="0" t="b">
        <v>0</v>
      </c>
    </row>
    <row customHeight="1" ht="11.25">
      <c r="A13" s="0" t="s">
        <v>3111</v>
      </c>
      <c r="B13" s="0" t="b">
        <v>0</v>
      </c>
    </row>
    <row customHeight="1" ht="11.25">
      <c r="A14" s="0" t="s">
        <v>3112</v>
      </c>
      <c r="B14" s="0" t="b">
        <v>0</v>
      </c>
    </row>
    <row customHeight="1" ht="11.25">
      <c r="A15" s="0" t="s">
        <v>3113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BCE11-98F7-E93F-1FF3-73734654F0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91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0854B-A31C-B6B1-DF2B-4DCF576A31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893" width="36.28125" customWidth="1"/>
    <col min="2" max="2" style="5893" width="21.140625" customWidth="1"/>
  </cols>
  <sheetData>
    <row customHeight="1" ht="11.25">
      <c r="A1" s="52" t="s">
        <v>3114</v>
      </c>
      <c r="B1" s="52" t="s">
        <v>3115</v>
      </c>
    </row>
    <row customHeight="1" ht="11.25">
      <c r="A2" s="48" t="s">
        <v>3116</v>
      </c>
      <c r="B2" s="48" t="s">
        <v>3117</v>
      </c>
    </row>
    <row customHeight="1" ht="11.25">
      <c r="A3" s="48" t="s">
        <v>3118</v>
      </c>
      <c r="B3" s="48" t="s">
        <v>3119</v>
      </c>
    </row>
    <row customHeight="1" ht="11.25">
      <c r="A4" s="48" t="s">
        <v>3120</v>
      </c>
      <c r="B4" s="48" t="s">
        <v>3121</v>
      </c>
    </row>
    <row customHeight="1" ht="11.25">
      <c r="A5" s="48" t="s">
        <v>3122</v>
      </c>
      <c r="B5" s="48" t="s">
        <v>3123</v>
      </c>
    </row>
    <row customHeight="1" ht="11.25">
      <c r="A6" s="48" t="s">
        <v>3124</v>
      </c>
      <c r="B6" s="48" t="s">
        <v>3125</v>
      </c>
    </row>
    <row customHeight="1" ht="11.25">
      <c r="A7" s="48" t="s">
        <v>3126</v>
      </c>
      <c r="B7" s="48" t="s">
        <v>3127</v>
      </c>
    </row>
    <row customHeight="1" ht="11.25">
      <c r="A8" s="48" t="s">
        <v>3128</v>
      </c>
      <c r="B8" s="48" t="s">
        <v>3129</v>
      </c>
    </row>
    <row customHeight="1" ht="11.25">
      <c r="A9" s="48" t="s">
        <v>3130</v>
      </c>
      <c r="B9" s="48" t="s">
        <v>3131</v>
      </c>
    </row>
    <row customHeight="1" ht="11.25">
      <c r="A10" s="48" t="s">
        <v>3132</v>
      </c>
      <c r="B10" s="48" t="s">
        <v>3133</v>
      </c>
    </row>
    <row customHeight="1" ht="11.25">
      <c r="A11" s="48" t="s">
        <v>3134</v>
      </c>
      <c r="B11" s="48" t="s">
        <v>3135</v>
      </c>
    </row>
    <row customHeight="1" ht="11.25">
      <c r="A12" s="48" t="s">
        <v>3136</v>
      </c>
      <c r="B12" s="48" t="s">
        <v>3137</v>
      </c>
    </row>
    <row customHeight="1" ht="11.25">
      <c r="A13" s="48" t="s">
        <v>3138</v>
      </c>
      <c r="B13" s="48" t="s">
        <v>3139</v>
      </c>
    </row>
    <row customHeight="1" ht="11.25">
      <c r="A14" s="48" t="s">
        <v>3140</v>
      </c>
      <c r="B14" s="48" t="s">
        <v>3141</v>
      </c>
    </row>
    <row customHeight="1" ht="11.25">
      <c r="A15" s="48" t="s">
        <v>3142</v>
      </c>
      <c r="B15" s="48" t="s">
        <v>3143</v>
      </c>
    </row>
    <row customHeight="1" ht="11.25">
      <c r="A16" s="48" t="s">
        <v>3144</v>
      </c>
      <c r="B16" s="48" t="s">
        <v>3145</v>
      </c>
    </row>
    <row customHeight="1" ht="11.25">
      <c r="A17" s="48" t="s">
        <v>3146</v>
      </c>
      <c r="B17" s="48" t="s">
        <v>3147</v>
      </c>
    </row>
    <row customHeight="1" ht="11.25">
      <c r="A18" s="48" t="s">
        <v>3148</v>
      </c>
      <c r="B18" s="48" t="s">
        <v>3149</v>
      </c>
    </row>
    <row customHeight="1" ht="11.25">
      <c r="A19" s="48" t="s">
        <v>3150</v>
      </c>
      <c r="B19" s="48" t="s">
        <v>3151</v>
      </c>
    </row>
    <row customHeight="1" ht="11.25">
      <c r="A20" s="48" t="s">
        <v>3152</v>
      </c>
      <c r="B20" s="48" t="s">
        <v>3153</v>
      </c>
    </row>
    <row customHeight="1" ht="11.25">
      <c r="A21" s="48" t="s">
        <v>3154</v>
      </c>
      <c r="B21" s="48" t="s">
        <v>3155</v>
      </c>
    </row>
    <row customHeight="1" ht="11.25">
      <c r="A22" s="48" t="s">
        <v>3156</v>
      </c>
      <c r="B22" s="48" t="s">
        <v>3157</v>
      </c>
    </row>
    <row customHeight="1" ht="11.25">
      <c r="A23" s="48" t="s">
        <v>3158</v>
      </c>
      <c r="B23" s="48" t="s">
        <v>3159</v>
      </c>
    </row>
    <row customHeight="1" ht="11.25">
      <c r="A24" s="48" t="s">
        <v>3160</v>
      </c>
      <c r="B24" s="48" t="s">
        <v>3161</v>
      </c>
    </row>
    <row customHeight="1" ht="11.25">
      <c r="A25" s="48" t="s">
        <v>3162</v>
      </c>
      <c r="B25" s="48" t="s">
        <v>3163</v>
      </c>
    </row>
    <row customHeight="1" ht="11.25">
      <c r="A26" s="48" t="s">
        <v>3164</v>
      </c>
      <c r="B26" s="48" t="s">
        <v>3165</v>
      </c>
    </row>
    <row customHeight="1" ht="11.25">
      <c r="A27" s="48" t="s">
        <v>3166</v>
      </c>
      <c r="B27" s="48" t="s">
        <v>3167</v>
      </c>
    </row>
    <row customHeight="1" ht="11.25">
      <c r="A28" s="48" t="s">
        <v>3168</v>
      </c>
      <c r="B28" s="48" t="s">
        <v>3169</v>
      </c>
    </row>
    <row customHeight="1" ht="11.25">
      <c r="A29" s="48" t="s">
        <v>3170</v>
      </c>
      <c r="B29" s="48" t="s">
        <v>3171</v>
      </c>
    </row>
    <row customHeight="1" ht="11.25">
      <c r="A30" s="48" t="s">
        <v>3172</v>
      </c>
      <c r="B30" s="48" t="s">
        <v>3173</v>
      </c>
    </row>
    <row customHeight="1" ht="11.25">
      <c r="A31" s="48" t="s">
        <v>3174</v>
      </c>
      <c r="B31" s="48" t="s">
        <v>3175</v>
      </c>
    </row>
    <row customHeight="1" ht="11.25">
      <c r="A32" s="48" t="s">
        <v>3176</v>
      </c>
      <c r="B32" s="48" t="s">
        <v>3177</v>
      </c>
    </row>
    <row customHeight="1" ht="11.25">
      <c r="A33" s="48" t="s">
        <v>3178</v>
      </c>
      <c r="B33" s="48" t="s">
        <v>3179</v>
      </c>
    </row>
    <row customHeight="1" ht="11.25">
      <c r="A34" s="48" t="s">
        <v>3180</v>
      </c>
      <c r="B34" s="48" t="s">
        <v>3181</v>
      </c>
    </row>
    <row customHeight="1" ht="11.25">
      <c r="A35" s="48" t="s">
        <v>3182</v>
      </c>
      <c r="B35" s="48" t="s">
        <v>3183</v>
      </c>
    </row>
    <row customHeight="1" ht="11.25">
      <c r="A36" s="48" t="s">
        <v>3184</v>
      </c>
      <c r="B36" s="48" t="s">
        <v>3185</v>
      </c>
    </row>
    <row customHeight="1" ht="11.25">
      <c r="A37" s="48" t="s">
        <v>3186</v>
      </c>
      <c r="B37" s="48" t="s">
        <v>3187</v>
      </c>
    </row>
    <row customHeight="1" ht="11.25">
      <c r="A38" s="48" t="s">
        <v>3188</v>
      </c>
      <c r="B38" s="48" t="s">
        <v>3189</v>
      </c>
    </row>
    <row customHeight="1" ht="11.25">
      <c r="A39" s="48" t="s">
        <v>3190</v>
      </c>
      <c r="B39" s="48" t="s">
        <v>3191</v>
      </c>
    </row>
    <row customHeight="1" ht="11.25">
      <c r="A40" s="48" t="s">
        <v>3192</v>
      </c>
      <c r="B40" s="48" t="s">
        <v>3193</v>
      </c>
    </row>
    <row customHeight="1" ht="11.25">
      <c r="A41" s="48" t="s">
        <v>3194</v>
      </c>
      <c r="B41" s="48" t="s">
        <v>3195</v>
      </c>
    </row>
    <row customHeight="1" ht="11.25">
      <c r="A42" s="48" t="s">
        <v>3196</v>
      </c>
      <c r="B42" s="48" t="s">
        <v>3197</v>
      </c>
    </row>
    <row customHeight="1" ht="11.25">
      <c r="A43" s="48" t="s">
        <v>3198</v>
      </c>
      <c r="B43" s="48" t="s">
        <v>3199</v>
      </c>
    </row>
    <row customHeight="1" ht="11.25">
      <c r="A44" s="48" t="s">
        <v>3200</v>
      </c>
      <c r="B44" s="48" t="s">
        <v>3201</v>
      </c>
    </row>
    <row customHeight="1" ht="11.25">
      <c r="A45" s="48" t="s">
        <v>3202</v>
      </c>
      <c r="B45" s="48" t="s">
        <v>3203</v>
      </c>
    </row>
    <row customHeight="1" ht="11.25">
      <c r="A46" s="48" t="s">
        <v>3204</v>
      </c>
      <c r="B46" s="48" t="s">
        <v>3205</v>
      </c>
    </row>
    <row customHeight="1" ht="11.25">
      <c r="A47" s="48" t="s">
        <v>3206</v>
      </c>
      <c r="B47" s="48" t="s">
        <v>3207</v>
      </c>
    </row>
    <row customHeight="1" ht="11.25">
      <c r="A48" s="48" t="s">
        <v>3208</v>
      </c>
      <c r="B48" s="48" t="s">
        <v>3209</v>
      </c>
    </row>
    <row customHeight="1" ht="11.25">
      <c r="A49" s="48" t="s">
        <v>3210</v>
      </c>
      <c r="B49" s="48" t="s">
        <v>3211</v>
      </c>
    </row>
    <row customHeight="1" ht="11.25">
      <c r="A50" s="48" t="s">
        <v>3212</v>
      </c>
      <c r="B50" s="48" t="s">
        <v>3213</v>
      </c>
    </row>
    <row customHeight="1" ht="11.25">
      <c r="A51" s="48" t="s">
        <v>3214</v>
      </c>
      <c r="B51" s="48" t="s">
        <v>3215</v>
      </c>
    </row>
    <row customHeight="1" ht="11.25">
      <c r="A52" s="48" t="s">
        <v>3216</v>
      </c>
      <c r="B52" s="48" t="s">
        <v>3217</v>
      </c>
    </row>
    <row customHeight="1" ht="11.25">
      <c r="A53" s="48" t="s">
        <v>3218</v>
      </c>
      <c r="B53" s="48" t="s">
        <v>3219</v>
      </c>
    </row>
    <row customHeight="1" ht="11.25">
      <c r="A54" s="48" t="s">
        <v>3220</v>
      </c>
      <c r="B54" s="48" t="s">
        <v>3221</v>
      </c>
    </row>
    <row customHeight="1" ht="11.25">
      <c r="A55" s="48" t="s">
        <v>3222</v>
      </c>
      <c r="B55" s="48" t="s">
        <v>3223</v>
      </c>
    </row>
    <row customHeight="1" ht="11.25">
      <c r="A56" s="48" t="s">
        <v>3224</v>
      </c>
      <c r="B56" s="48" t="s">
        <v>3225</v>
      </c>
    </row>
    <row customHeight="1" ht="11.25">
      <c r="A57" s="48" t="s">
        <v>3226</v>
      </c>
      <c r="B57" s="48" t="s">
        <v>3227</v>
      </c>
    </row>
    <row customHeight="1" ht="11.25">
      <c r="A58" s="48" t="s">
        <v>3228</v>
      </c>
      <c r="B58" s="48" t="s">
        <v>3229</v>
      </c>
    </row>
    <row customHeight="1" ht="11.25">
      <c r="A59" s="48" t="s">
        <v>3230</v>
      </c>
      <c r="B59" s="48" t="s">
        <v>3231</v>
      </c>
    </row>
    <row customHeight="1" ht="11.25">
      <c r="A60" s="48" t="s">
        <v>3232</v>
      </c>
      <c r="B60" s="48" t="s">
        <v>3233</v>
      </c>
    </row>
    <row customHeight="1" ht="11.25">
      <c r="A61" s="48"/>
      <c r="B61" s="48" t="s">
        <v>3234</v>
      </c>
    </row>
    <row customHeight="1" ht="11.25">
      <c r="A62" s="48"/>
      <c r="B62" s="48" t="s">
        <v>3235</v>
      </c>
    </row>
    <row customHeight="1" ht="11.25">
      <c r="A63" s="48"/>
      <c r="B63" s="48" t="s">
        <v>3236</v>
      </c>
    </row>
    <row customHeight="1" ht="11.25">
      <c r="A64" s="48"/>
      <c r="B64" s="48" t="s">
        <v>3237</v>
      </c>
    </row>
    <row customHeight="1" ht="11.25">
      <c r="A65" s="48"/>
      <c r="B65" s="48" t="s">
        <v>3238</v>
      </c>
    </row>
    <row customHeight="1" ht="11.25">
      <c r="A66" s="48"/>
      <c r="B66" s="48" t="s">
        <v>3239</v>
      </c>
    </row>
    <row customHeight="1" ht="11.25">
      <c r="A67" s="48"/>
      <c r="B67" s="48" t="s">
        <v>3240</v>
      </c>
    </row>
    <row customHeight="1" ht="11.25">
      <c r="A68" s="48"/>
      <c r="B68" s="48" t="s">
        <v>3241</v>
      </c>
    </row>
    <row customHeight="1" ht="11.25">
      <c r="A69" s="48"/>
      <c r="B69" s="48" t="s">
        <v>3242</v>
      </c>
    </row>
    <row customHeight="1" ht="11.25">
      <c r="A70" s="48"/>
      <c r="B70" s="48" t="s">
        <v>3243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87B18-225E-8315-6339-BD373FF128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3244</v>
      </c>
    </row>
    <row customHeight="1" ht="90">
      <c r="B2" s="79" t="s">
        <v>3245</v>
      </c>
    </row>
    <row customHeight="1" ht="67.5">
      <c r="B3" s="79" t="s">
        <v>3246</v>
      </c>
    </row>
    <row customHeight="1" ht="33.75">
      <c r="B4" s="79" t="s">
        <v>3247</v>
      </c>
    </row>
    <row customHeight="1" ht="11.25">
      <c r="B5" s="79" t="s">
        <v>3248</v>
      </c>
    </row>
    <row customHeight="1" ht="22.5">
      <c r="B6" s="79" t="s">
        <v>3249</v>
      </c>
    </row>
    <row customHeight="1" ht="22.5">
      <c r="B7" s="79" t="s">
        <v>3250</v>
      </c>
    </row>
    <row customHeight="1" ht="22.5">
      <c r="B8" s="79" t="s">
        <v>3251</v>
      </c>
    </row>
    <row customHeight="1" ht="22.5">
      <c r="B9" s="79" t="s">
        <v>3252</v>
      </c>
    </row>
    <row customHeight="1" ht="56.25">
      <c r="B10" s="79" t="s">
        <v>3253</v>
      </c>
    </row>
    <row customHeight="1" ht="12.75">
      <c r="B11" s="145" t="s">
        <v>3254</v>
      </c>
    </row>
    <row customHeight="1" ht="11.25">
      <c r="B12" s="78" t="s">
        <v>3255</v>
      </c>
    </row>
    <row customHeight="1" ht="22.5">
      <c r="B13" s="79" t="s">
        <v>3256</v>
      </c>
    </row>
    <row customHeight="1" ht="67.5">
      <c r="B14" s="79" t="s">
        <v>3257</v>
      </c>
    </row>
    <row customHeight="1" ht="22.5">
      <c r="B15" s="79" t="s">
        <v>3258</v>
      </c>
    </row>
    <row customHeight="1" ht="11.25">
      <c r="B16" s="78" t="s">
        <v>3259</v>
      </c>
      <c r="D16" s="86"/>
    </row>
    <row customHeight="1" ht="33.75">
      <c r="B17" s="79" t="s">
        <v>3260</v>
      </c>
    </row>
    <row customHeight="1" ht="33.75">
      <c r="B18" s="79" t="s">
        <v>3261</v>
      </c>
    </row>
    <row customHeight="1" ht="11.25">
      <c r="B19" s="79" t="s">
        <v>3262</v>
      </c>
    </row>
    <row customHeight="1" ht="33.75">
      <c r="B20" s="79" t="s">
        <v>3263</v>
      </c>
    </row>
    <row customHeight="1" ht="11.25">
      <c r="B21" s="78" t="s">
        <v>3264</v>
      </c>
    </row>
    <row customHeight="1" ht="11.25">
      <c r="B22" s="79" t="s">
        <v>3265</v>
      </c>
    </row>
    <row r="24" customHeight="1" ht="22.5">
      <c r="B24" s="147" t="s">
        <v>3266</v>
      </c>
    </row>
    <row r="26" customHeight="1" ht="11.25">
      <c r="B26" s="78" t="s">
        <v>3267</v>
      </c>
    </row>
    <row customHeight="1" ht="22.5">
      <c r="B27" s="146" t="s">
        <v>388</v>
      </c>
    </row>
    <row customHeight="1" ht="56.25">
      <c r="B28" s="146" t="s">
        <v>3268</v>
      </c>
    </row>
    <row customHeight="1" ht="11.25">
      <c r="B29" s="196" t="s">
        <v>3269</v>
      </c>
    </row>
    <row customHeight="1" ht="22.5">
      <c r="B30" s="146" t="s">
        <v>3270</v>
      </c>
    </row>
    <row r="32" customHeight="1" ht="11.25">
      <c r="A32" s="174"/>
      <c r="B32" s="175" t="s">
        <v>3271</v>
      </c>
    </row>
    <row customHeight="1" ht="14.25">
      <c r="A33" s="176">
        <v>1</v>
      </c>
      <c r="B33" s="177" t="s">
        <v>3272</v>
      </c>
    </row>
    <row customHeight="1" ht="14.25">
      <c r="A34" s="176">
        <v>2</v>
      </c>
      <c r="B34" s="177" t="s">
        <v>3273</v>
      </c>
    </row>
    <row customHeight="1" ht="11.25">
      <c r="B35" s="175" t="s">
        <v>3274</v>
      </c>
    </row>
    <row customHeight="1" ht="11.25">
      <c r="B36" s="177" t="s">
        <v>3275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